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lik\Desktop\Internet ab 17.07.2024 für Hamide Yenge\Excel Tools\"/>
    </mc:Choice>
  </mc:AlternateContent>
  <xr:revisionPtr revIDLastSave="0" documentId="13_ncr:1_{0663A7A3-A7A6-462A-A7BF-E1C1B8C33302}" xr6:coauthVersionLast="36" xr6:coauthVersionMax="36" xr10:uidLastSave="{00000000-0000-0000-0000-000000000000}"/>
  <workbookProtection workbookAlgorithmName="SHA-512" workbookHashValue="zwGDkwqVIOCpwvdi9yDHI8cJAJ4/XkzCB/TgJ+xWrCu3AdiWtZD+Ls8/P/3vWDuy4mIsWNO5DaP+1PsqrMzj1Q==" workbookSaltValue="2j9o64H5oQabimi76LzG9w==" workbookSpinCount="100000" lockStructure="1"/>
  <bookViews>
    <workbookView xWindow="0" yWindow="0" windowWidth="24720" windowHeight="11625" xr2:uid="{00000000-000D-0000-FFFF-FFFF00000000}"/>
  </bookViews>
  <sheets>
    <sheet name="Anfrage" sheetId="1" r:id="rId1"/>
    <sheet name="Tabelle2" sheetId="2" state="hidden" r:id="rId2"/>
    <sheet name="Bild" sheetId="4" r:id="rId3"/>
    <sheet name="Tabelle1" sheetId="5" state="hidden" r:id="rId4"/>
  </sheets>
  <definedNames>
    <definedName name="_xlnm.Print_Area" localSheetId="0">Anfrage!$B$1:$R$43</definedName>
    <definedName name="_xlnm.Print_Area" localSheetId="1">Tabelle2!$A$1:$V$68</definedName>
  </definedNames>
  <calcPr calcId="191029"/>
</workbook>
</file>

<file path=xl/calcChain.xml><?xml version="1.0" encoding="utf-8"?>
<calcChain xmlns="http://schemas.openxmlformats.org/spreadsheetml/2006/main">
  <c r="M5" i="2" l="1"/>
  <c r="L37" i="1" l="1"/>
  <c r="N26" i="2" l="1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25" i="2"/>
  <c r="G26" i="2" l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25" i="2"/>
  <c r="C12" i="2" l="1"/>
  <c r="U22" i="2" l="1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O22" i="2" l="1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M22" i="2" l="1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C22" i="2"/>
  <c r="C21" i="2"/>
  <c r="C20" i="2"/>
  <c r="C19" i="2"/>
  <c r="C18" i="2"/>
  <c r="C17" i="2"/>
  <c r="C16" i="2"/>
  <c r="C15" i="2"/>
  <c r="C14" i="2"/>
  <c r="C13" i="2"/>
  <c r="C11" i="2"/>
  <c r="C10" i="2"/>
  <c r="C9" i="2"/>
  <c r="C8" i="2"/>
  <c r="C7" i="2"/>
  <c r="C6" i="2"/>
  <c r="B22" i="2"/>
  <c r="I22" i="2" s="1"/>
  <c r="B21" i="2"/>
  <c r="I21" i="2" s="1"/>
  <c r="B20" i="2"/>
  <c r="I20" i="2" s="1"/>
  <c r="B19" i="2"/>
  <c r="I19" i="2" s="1"/>
  <c r="B18" i="2"/>
  <c r="I18" i="2" s="1"/>
  <c r="B17" i="2"/>
  <c r="I17" i="2" s="1"/>
  <c r="B16" i="2"/>
  <c r="I16" i="2" s="1"/>
  <c r="B15" i="2"/>
  <c r="I15" i="2" s="1"/>
  <c r="B14" i="2"/>
  <c r="I14" i="2" s="1"/>
  <c r="B13" i="2"/>
  <c r="I13" i="2" s="1"/>
  <c r="B12" i="2"/>
  <c r="I12" i="2" s="1"/>
  <c r="B11" i="2"/>
  <c r="I11" i="2" s="1"/>
  <c r="B10" i="2"/>
  <c r="I10" i="2" s="1"/>
  <c r="B9" i="2"/>
  <c r="I9" i="2" s="1"/>
  <c r="B8" i="2"/>
  <c r="I8" i="2" s="1"/>
  <c r="B7" i="2"/>
  <c r="I7" i="2" s="1"/>
  <c r="B6" i="2"/>
  <c r="I6" i="2" s="1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C5" i="2"/>
  <c r="B5" i="2"/>
  <c r="I5" i="2" s="1"/>
  <c r="A5" i="2"/>
  <c r="O5" i="2"/>
  <c r="K5" i="2"/>
  <c r="J5" i="2"/>
  <c r="D16" i="2" l="1"/>
  <c r="D17" i="2"/>
  <c r="D10" i="2"/>
  <c r="D18" i="2"/>
  <c r="D19" i="2"/>
  <c r="D8" i="2"/>
  <c r="E28" i="2" s="1"/>
  <c r="D14" i="2"/>
  <c r="S21" i="2"/>
  <c r="R21" i="2"/>
  <c r="H21" i="2"/>
  <c r="G21" i="2"/>
  <c r="P21" i="2" s="1"/>
  <c r="S22" i="2"/>
  <c r="R22" i="2"/>
  <c r="H22" i="2"/>
  <c r="G22" i="2"/>
  <c r="P22" i="2" s="1"/>
  <c r="D12" i="2"/>
  <c r="R18" i="2"/>
  <c r="S18" i="2"/>
  <c r="G18" i="2"/>
  <c r="P18" i="2" s="1"/>
  <c r="H18" i="2"/>
  <c r="D21" i="2"/>
  <c r="R19" i="2"/>
  <c r="S19" i="2"/>
  <c r="H19" i="2"/>
  <c r="G19" i="2"/>
  <c r="P19" i="2" s="1"/>
  <c r="D22" i="2"/>
  <c r="S13" i="2"/>
  <c r="R13" i="2"/>
  <c r="H13" i="2"/>
  <c r="G13" i="2"/>
  <c r="P13" i="2" s="1"/>
  <c r="S14" i="2"/>
  <c r="R14" i="2"/>
  <c r="H14" i="2"/>
  <c r="G14" i="2"/>
  <c r="P14" i="2" s="1"/>
  <c r="S15" i="2"/>
  <c r="R15" i="2"/>
  <c r="H15" i="2"/>
  <c r="G15" i="2"/>
  <c r="P15" i="2" s="1"/>
  <c r="S16" i="2"/>
  <c r="R16" i="2"/>
  <c r="G16" i="2"/>
  <c r="P16" i="2" s="1"/>
  <c r="H16" i="2"/>
  <c r="S17" i="2"/>
  <c r="R17" i="2"/>
  <c r="G17" i="2"/>
  <c r="P17" i="2" s="1"/>
  <c r="H17" i="2"/>
  <c r="D20" i="2"/>
  <c r="D13" i="2"/>
  <c r="R12" i="2"/>
  <c r="S12" i="2"/>
  <c r="H12" i="2"/>
  <c r="G12" i="2"/>
  <c r="P12" i="2" s="1"/>
  <c r="R20" i="2"/>
  <c r="S20" i="2"/>
  <c r="H20" i="2"/>
  <c r="G20" i="2"/>
  <c r="P20" i="2" s="1"/>
  <c r="D15" i="2"/>
  <c r="R11" i="2"/>
  <c r="S11" i="2"/>
  <c r="H11" i="2"/>
  <c r="G11" i="2"/>
  <c r="P11" i="2" s="1"/>
  <c r="D11" i="2"/>
  <c r="R10" i="2"/>
  <c r="S10" i="2"/>
  <c r="H10" i="2"/>
  <c r="G10" i="2"/>
  <c r="P10" i="2" s="1"/>
  <c r="R9" i="2"/>
  <c r="S9" i="2"/>
  <c r="H9" i="2"/>
  <c r="G9" i="2"/>
  <c r="P9" i="2" s="1"/>
  <c r="D9" i="2"/>
  <c r="R8" i="2"/>
  <c r="S8" i="2"/>
  <c r="G8" i="2"/>
  <c r="P8" i="2" s="1"/>
  <c r="H8" i="2"/>
  <c r="R7" i="2"/>
  <c r="S7" i="2"/>
  <c r="S6" i="2"/>
  <c r="R6" i="2"/>
  <c r="H7" i="2"/>
  <c r="G7" i="2"/>
  <c r="P7" i="2" s="1"/>
  <c r="D7" i="2"/>
  <c r="H6" i="2"/>
  <c r="G6" i="2"/>
  <c r="P6" i="2" s="1"/>
  <c r="D6" i="2"/>
  <c r="R5" i="2"/>
  <c r="S5" i="2"/>
  <c r="D5" i="2"/>
  <c r="G5" i="2"/>
  <c r="P5" i="2" s="1"/>
  <c r="H5" i="2"/>
  <c r="Q21" i="2" l="1"/>
  <c r="Q15" i="2"/>
  <c r="Q20" i="2"/>
  <c r="Q17" i="2"/>
  <c r="C37" i="2" s="1"/>
  <c r="D37" i="2" s="1"/>
  <c r="Q18" i="2"/>
  <c r="C38" i="2" s="1"/>
  <c r="D38" i="2" s="1"/>
  <c r="Q19" i="2"/>
  <c r="C39" i="2" s="1"/>
  <c r="D39" i="2" s="1"/>
  <c r="Q16" i="2"/>
  <c r="C36" i="2" s="1"/>
  <c r="D36" i="2" s="1"/>
  <c r="Q13" i="2"/>
  <c r="C33" i="2" s="1"/>
  <c r="D33" i="2" s="1"/>
  <c r="Q14" i="2"/>
  <c r="C34" i="2" s="1"/>
  <c r="D34" i="2" s="1"/>
  <c r="Q12" i="2"/>
  <c r="C32" i="2" s="1"/>
  <c r="D32" i="2" s="1"/>
  <c r="Q11" i="2"/>
  <c r="C31" i="2" s="1"/>
  <c r="D31" i="2" s="1"/>
  <c r="Q9" i="2"/>
  <c r="C29" i="2" s="1"/>
  <c r="D29" i="2" s="1"/>
  <c r="Q10" i="2"/>
  <c r="C30" i="2" s="1"/>
  <c r="D30" i="2" s="1"/>
  <c r="Q5" i="2"/>
  <c r="C25" i="2" s="1"/>
  <c r="D25" i="2" s="1"/>
  <c r="Q7" i="2"/>
  <c r="C27" i="2" s="1"/>
  <c r="D27" i="2" s="1"/>
  <c r="E40" i="2"/>
  <c r="E20" i="2"/>
  <c r="E41" i="2"/>
  <c r="E21" i="2"/>
  <c r="F19" i="2"/>
  <c r="E39" i="2"/>
  <c r="E19" i="2"/>
  <c r="E38" i="2"/>
  <c r="E18" i="2"/>
  <c r="F17" i="2"/>
  <c r="E37" i="2"/>
  <c r="E17" i="2"/>
  <c r="E36" i="2"/>
  <c r="E16" i="2"/>
  <c r="Q6" i="2"/>
  <c r="C26" i="2" s="1"/>
  <c r="D26" i="2" s="1"/>
  <c r="Q8" i="2"/>
  <c r="C28" i="2" s="1"/>
  <c r="D28" i="2" s="1"/>
  <c r="E5" i="2"/>
  <c r="E25" i="2"/>
  <c r="E9" i="2"/>
  <c r="E29" i="2"/>
  <c r="E14" i="2"/>
  <c r="E34" i="2"/>
  <c r="E11" i="2"/>
  <c r="E31" i="2"/>
  <c r="E13" i="2"/>
  <c r="E33" i="2"/>
  <c r="E6" i="2"/>
  <c r="E26" i="2"/>
  <c r="E12" i="2"/>
  <c r="E32" i="2"/>
  <c r="E10" i="2"/>
  <c r="E30" i="2"/>
  <c r="E7" i="2"/>
  <c r="E27" i="2"/>
  <c r="E15" i="2"/>
  <c r="E35" i="2"/>
  <c r="F8" i="2"/>
  <c r="E8" i="2"/>
  <c r="C40" i="2"/>
  <c r="D40" i="2" s="1"/>
  <c r="C41" i="2"/>
  <c r="D41" i="2" s="1"/>
  <c r="C35" i="2"/>
  <c r="D35" i="2" s="1"/>
  <c r="F18" i="2"/>
  <c r="F10" i="2"/>
  <c r="F16" i="2"/>
  <c r="T17" i="2"/>
  <c r="F14" i="2"/>
  <c r="F13" i="2"/>
  <c r="F12" i="2"/>
  <c r="F20" i="2"/>
  <c r="F21" i="2"/>
  <c r="F22" i="2"/>
  <c r="F15" i="2"/>
  <c r="F11" i="2"/>
  <c r="F9" i="2"/>
  <c r="F7" i="2"/>
  <c r="F6" i="2"/>
  <c r="F5" i="2"/>
  <c r="T13" i="2" l="1"/>
  <c r="T20" i="2"/>
  <c r="T14" i="2"/>
  <c r="T18" i="2"/>
  <c r="T16" i="2"/>
  <c r="T19" i="2"/>
  <c r="T22" i="2"/>
  <c r="T21" i="2"/>
  <c r="T15" i="2"/>
  <c r="T11" i="2"/>
  <c r="T12" i="2"/>
  <c r="T8" i="2"/>
  <c r="T9" i="2"/>
  <c r="T10" i="2"/>
  <c r="T6" i="2"/>
  <c r="T7" i="2"/>
  <c r="T5" i="2" l="1"/>
  <c r="Q36" i="1" l="1"/>
  <c r="E42" i="2"/>
  <c r="E43" i="2" s="1"/>
  <c r="J28" i="2" s="1"/>
  <c r="Q22" i="2"/>
  <c r="C42" i="2" s="1"/>
  <c r="E22" i="2"/>
  <c r="E23" i="2" s="1"/>
  <c r="I34" i="2" s="1"/>
  <c r="J34" i="2" s="1"/>
  <c r="Q26" i="2" s="1"/>
  <c r="G42" i="2"/>
  <c r="G43" i="2" s="1"/>
  <c r="N42" i="2"/>
  <c r="N43" i="2" l="1"/>
  <c r="J31" i="2" s="1"/>
  <c r="Q30" i="2"/>
  <c r="J25" i="2"/>
  <c r="C43" i="2"/>
  <c r="D42" i="2"/>
  <c r="D43" i="2" s="1"/>
  <c r="Q37" i="1"/>
  <c r="Q38" i="1" s="1"/>
  <c r="T26" i="2" l="1"/>
  <c r="T30" i="2" s="1"/>
  <c r="V30" i="2" s="1"/>
  <c r="Q35" i="2" l="1"/>
  <c r="Q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Windows-Benutzer</author>
  </authors>
  <commentList>
    <comment ref="B3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Windows-Benutzer:</t>
        </r>
        <r>
          <rPr>
            <sz val="9"/>
            <color indexed="81"/>
            <rFont val="Segoe UI"/>
            <charset val="1"/>
          </rPr>
          <t xml:space="preserve">
vorher 12% bis April 21</t>
        </r>
      </text>
    </comment>
    <comment ref="G4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Windows-Benutzer:</t>
        </r>
        <r>
          <rPr>
            <sz val="9"/>
            <color indexed="81"/>
            <rFont val="Segoe UI"/>
            <charset val="1"/>
          </rPr>
          <t xml:space="preserve">
vorher 3.80 bis April 21
</t>
        </r>
      </text>
    </comment>
  </commentList>
</comments>
</file>

<file path=xl/sharedStrings.xml><?xml version="1.0" encoding="utf-8"?>
<sst xmlns="http://schemas.openxmlformats.org/spreadsheetml/2006/main" count="156" uniqueCount="108">
  <si>
    <t>Anz.</t>
  </si>
  <si>
    <t>(mm)</t>
  </si>
  <si>
    <t>(Stk.)</t>
  </si>
  <si>
    <t>B</t>
  </si>
  <si>
    <t>H</t>
  </si>
  <si>
    <t>T</t>
  </si>
  <si>
    <t>Material</t>
  </si>
  <si>
    <t>Stärke</t>
  </si>
  <si>
    <t>Zarge</t>
  </si>
  <si>
    <t>Fensterbank</t>
  </si>
  <si>
    <t>1=Ja</t>
  </si>
  <si>
    <t>Oberfl.-Beh.</t>
  </si>
  <si>
    <t>Steckprofil</t>
  </si>
  <si>
    <t>Total</t>
  </si>
  <si>
    <t>(Fr.)</t>
  </si>
  <si>
    <t>Bezeichnung</t>
  </si>
  <si>
    <t>Plan-Nr.</t>
  </si>
  <si>
    <t>1=Alu</t>
  </si>
  <si>
    <t>2=SPO</t>
  </si>
  <si>
    <t>Storenk.</t>
  </si>
  <si>
    <t>Firma</t>
  </si>
  <si>
    <t>Kommision</t>
  </si>
  <si>
    <t>Ansprechpartner</t>
  </si>
  <si>
    <t>Telefon</t>
  </si>
  <si>
    <t>Mail</t>
  </si>
  <si>
    <t>Fax</t>
  </si>
  <si>
    <t>Liefertermin</t>
  </si>
  <si>
    <t>Lieferadresse</t>
  </si>
  <si>
    <t>Rechnungsadresse</t>
  </si>
  <si>
    <t>Fr.</t>
  </si>
  <si>
    <t>Bestell-Total exkl. MWST</t>
  </si>
  <si>
    <t>Rabatt (2.5% pro 5 Einheiten. Maximal 10%)</t>
  </si>
  <si>
    <t>%</t>
  </si>
  <si>
    <t>Netto-Bestellwert exkl. MWST</t>
  </si>
  <si>
    <t>Datum</t>
  </si>
  <si>
    <t>Quetschbug</t>
  </si>
  <si>
    <t>1=ja</t>
  </si>
  <si>
    <t>Züsätze wie Riffelblech gem. Beschr.</t>
  </si>
  <si>
    <t>Beschreibung der Zusätze</t>
  </si>
  <si>
    <t>Masse Abwicklung</t>
  </si>
  <si>
    <t>Alu</t>
  </si>
  <si>
    <t>SPO</t>
  </si>
  <si>
    <t>m2 Zarge</t>
  </si>
  <si>
    <t>m2 Bank</t>
  </si>
  <si>
    <t>Total m2</t>
  </si>
  <si>
    <t>Tot KG Alu</t>
  </si>
  <si>
    <t>Tot KG SPO</t>
  </si>
  <si>
    <t>Alu/KG</t>
  </si>
  <si>
    <t>SPO/KG</t>
  </si>
  <si>
    <t>% eingerechnet</t>
  </si>
  <si>
    <t>Verschnitt</t>
  </si>
  <si>
    <t>MP Bank</t>
  </si>
  <si>
    <t>Fr.m2</t>
  </si>
  <si>
    <t>MP Stehb.</t>
  </si>
  <si>
    <t>m2 Storen</t>
  </si>
  <si>
    <t>MP Trsp.S.</t>
  </si>
  <si>
    <t>bis 2 Lfm</t>
  </si>
  <si>
    <t>2 bis 2.9 Lfm</t>
  </si>
  <si>
    <t>ab 2.9 Lfm</t>
  </si>
  <si>
    <t>Arbeit Fr.</t>
  </si>
  <si>
    <t>Arbeit Fr. Storenk.</t>
  </si>
  <si>
    <t>ab 2.9 LFM</t>
  </si>
  <si>
    <t>Lackieren</t>
  </si>
  <si>
    <t>Quetschbug + %</t>
  </si>
  <si>
    <t>Auf Arbeit + Mat. Zarge</t>
  </si>
  <si>
    <t>%-Aufschlag</t>
  </si>
  <si>
    <t>ohne Rabatt</t>
  </si>
  <si>
    <t>Arbeit Bank</t>
  </si>
  <si>
    <t>Materialbedarf /Stk.</t>
  </si>
  <si>
    <t>EK-Preis Mat./Stk.</t>
  </si>
  <si>
    <t>Total Zarge</t>
  </si>
  <si>
    <t>Fr./Lfm.</t>
  </si>
  <si>
    <t>(Tot.m2)</t>
  </si>
  <si>
    <t>Müco AG, Bahnhofstrasse 37, 6285 Hitzkirch</t>
  </si>
  <si>
    <t>müco Produktions AG</t>
  </si>
  <si>
    <t>(Standard Zarge mit Storenkasten)</t>
  </si>
  <si>
    <t>Tiefe FB</t>
  </si>
  <si>
    <t>Farbe</t>
  </si>
  <si>
    <t xml:space="preserve">Preis für Lackieren: </t>
  </si>
  <si>
    <t>Position:</t>
  </si>
  <si>
    <t>TOTAL:</t>
  </si>
  <si>
    <t>VP Müco</t>
  </si>
  <si>
    <t>EK Müco</t>
  </si>
  <si>
    <t>m2</t>
  </si>
  <si>
    <t>Steckprofil lfm</t>
  </si>
  <si>
    <t>lfm</t>
  </si>
  <si>
    <t>Total Kosten zum lackieren:</t>
  </si>
  <si>
    <t>Total:</t>
  </si>
  <si>
    <t>Lfm Preis Schutzfolie:</t>
  </si>
  <si>
    <t>Total Lfm Fensterbank Schutzfolie:</t>
  </si>
  <si>
    <t>Total lfm</t>
  </si>
  <si>
    <t>Gewicht Material</t>
  </si>
  <si>
    <t>Total Kosten Material Alu:</t>
  </si>
  <si>
    <t>Total Kosten Steckprofil:</t>
  </si>
  <si>
    <t>Lfm Preis Steckprofil lackieren:</t>
  </si>
  <si>
    <t>m2 Preis Lackieren:</t>
  </si>
  <si>
    <t>Total Kosten ohne Arbeit:</t>
  </si>
  <si>
    <t>Total Kosten Vorgabe Arbeit:</t>
  </si>
  <si>
    <t>in h</t>
  </si>
  <si>
    <t>Total Kosten inkl. Arbeit:</t>
  </si>
  <si>
    <t>KG</t>
  </si>
  <si>
    <t>inkl. Steckprofile</t>
  </si>
  <si>
    <t>Transport
Sicherung</t>
  </si>
  <si>
    <t>bis 11 m2</t>
  </si>
  <si>
    <t>ab 11 m2</t>
  </si>
  <si>
    <t>Total Stk.</t>
  </si>
  <si>
    <t>Anfrage Zargen "geschweisst und einbrennlackiert" (Musterbild siehe Register)</t>
  </si>
  <si>
    <t>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</si>
</sst>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9"/>
      <name val="Times New Roman"/>
      <family val="1"/>
    </font>
    <font>
      <b/>
      <sz val="16"/>
      <color theme="9" tint="-0.249977111117893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5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25" xfId="0" applyBorder="1"/>
    <xf numFmtId="0" fontId="0" fillId="0" borderId="26" xfId="0" applyBorder="1"/>
    <xf numFmtId="0" fontId="0" fillId="0" borderId="22" xfId="0" applyBorder="1" applyProtection="1"/>
    <xf numFmtId="0" fontId="1" fillId="0" borderId="16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7" xfId="0" applyBorder="1" applyAlignment="1" applyProtection="1">
      <alignment horizontal="center"/>
    </xf>
    <xf numFmtId="0" fontId="0" fillId="0" borderId="23" xfId="0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Border="1" applyProtection="1"/>
    <xf numFmtId="0" fontId="0" fillId="0" borderId="30" xfId="0" applyBorder="1" applyAlignment="1">
      <alignment horizontal="center"/>
    </xf>
    <xf numFmtId="0" fontId="0" fillId="0" borderId="17" xfId="0" applyBorder="1"/>
    <xf numFmtId="0" fontId="0" fillId="0" borderId="1" xfId="0" applyFill="1" applyBorder="1" applyProtection="1">
      <protection hidden="1"/>
    </xf>
    <xf numFmtId="0" fontId="0" fillId="0" borderId="0" xfId="0" applyAlignment="1">
      <alignment horizontal="center"/>
    </xf>
    <xf numFmtId="2" fontId="0" fillId="0" borderId="0" xfId="0" applyNumberFormat="1" applyProtection="1">
      <protection hidden="1"/>
    </xf>
    <xf numFmtId="2" fontId="0" fillId="0" borderId="0" xfId="0" applyNumberFormat="1"/>
    <xf numFmtId="0" fontId="0" fillId="0" borderId="32" xfId="0" applyBorder="1"/>
    <xf numFmtId="0" fontId="0" fillId="0" borderId="4" xfId="0" applyBorder="1"/>
    <xf numFmtId="0" fontId="0" fillId="0" borderId="5" xfId="0" applyBorder="1"/>
    <xf numFmtId="0" fontId="0" fillId="0" borderId="33" xfId="0" applyBorder="1"/>
    <xf numFmtId="0" fontId="0" fillId="0" borderId="34" xfId="0" applyBorder="1"/>
    <xf numFmtId="0" fontId="0" fillId="0" borderId="6" xfId="0" applyBorder="1"/>
    <xf numFmtId="0" fontId="0" fillId="0" borderId="35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35" xfId="0" applyFill="1" applyBorder="1"/>
    <xf numFmtId="0" fontId="0" fillId="0" borderId="3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35" xfId="0" applyNumberFormat="1" applyBorder="1"/>
    <xf numFmtId="2" fontId="0" fillId="0" borderId="7" xfId="0" applyNumberFormat="1" applyBorder="1"/>
    <xf numFmtId="2" fontId="0" fillId="0" borderId="0" xfId="0" applyNumberFormat="1" applyFill="1"/>
    <xf numFmtId="2" fontId="0" fillId="0" borderId="3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34" xfId="0" applyNumberFormat="1" applyBorder="1"/>
    <xf numFmtId="2" fontId="0" fillId="0" borderId="6" xfId="0" applyNumberFormat="1" applyBorder="1"/>
    <xf numFmtId="1" fontId="0" fillId="2" borderId="1" xfId="0" applyNumberFormat="1" applyFill="1" applyBorder="1" applyAlignment="1" applyProtection="1">
      <alignment horizontal="right" indent="1"/>
      <protection locked="0"/>
    </xf>
    <xf numFmtId="0" fontId="0" fillId="2" borderId="21" xfId="0" applyFill="1" applyBorder="1" applyAlignment="1" applyProtection="1">
      <alignment horizontal="right" indent="1"/>
      <protection locked="0"/>
    </xf>
    <xf numFmtId="0" fontId="0" fillId="2" borderId="0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38" xfId="0" applyBorder="1"/>
    <xf numFmtId="0" fontId="0" fillId="0" borderId="41" xfId="0" applyBorder="1"/>
    <xf numFmtId="0" fontId="1" fillId="0" borderId="0" xfId="0" applyFont="1"/>
    <xf numFmtId="44" fontId="0" fillId="0" borderId="0" xfId="2" applyFont="1"/>
    <xf numFmtId="44" fontId="0" fillId="0" borderId="0" xfId="0" applyNumberFormat="1"/>
    <xf numFmtId="44" fontId="1" fillId="0" borderId="0" xfId="0" applyNumberFormat="1" applyFont="1"/>
    <xf numFmtId="44" fontId="0" fillId="0" borderId="0" xfId="0" applyNumberFormat="1" applyFont="1"/>
    <xf numFmtId="2" fontId="1" fillId="0" borderId="0" xfId="0" applyNumberFormat="1" applyFont="1"/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49" fontId="0" fillId="2" borderId="24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44" fontId="0" fillId="3" borderId="0" xfId="2" applyFont="1" applyFill="1"/>
    <xf numFmtId="44" fontId="0" fillId="3" borderId="0" xfId="0" applyNumberFormat="1" applyFill="1"/>
    <xf numFmtId="2" fontId="0" fillId="3" borderId="0" xfId="0" applyNumberFormat="1" applyFill="1"/>
    <xf numFmtId="44" fontId="1" fillId="4" borderId="44" xfId="0" applyNumberFormat="1" applyFont="1" applyFill="1" applyBorder="1"/>
    <xf numFmtId="44" fontId="1" fillId="5" borderId="44" xfId="0" applyNumberFormat="1" applyFont="1" applyFill="1" applyBorder="1"/>
    <xf numFmtId="0" fontId="1" fillId="0" borderId="27" xfId="0" applyFont="1" applyBorder="1"/>
    <xf numFmtId="0" fontId="0" fillId="0" borderId="20" xfId="0" applyBorder="1"/>
    <xf numFmtId="0" fontId="0" fillId="0" borderId="45" xfId="0" applyBorder="1"/>
    <xf numFmtId="44" fontId="1" fillId="3" borderId="13" xfId="0" applyNumberFormat="1" applyFont="1" applyFill="1" applyBorder="1"/>
    <xf numFmtId="44" fontId="1" fillId="3" borderId="36" xfId="0" applyNumberFormat="1" applyFont="1" applyFill="1" applyBorder="1"/>
    <xf numFmtId="44" fontId="1" fillId="3" borderId="13" xfId="2" applyFont="1" applyFill="1" applyBorder="1"/>
    <xf numFmtId="0" fontId="1" fillId="3" borderId="46" xfId="0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left"/>
    </xf>
    <xf numFmtId="2" fontId="8" fillId="0" borderId="39" xfId="0" applyNumberFormat="1" applyFont="1" applyBorder="1"/>
    <xf numFmtId="0" fontId="8" fillId="0" borderId="41" xfId="0" applyFont="1" applyBorder="1"/>
    <xf numFmtId="0" fontId="1" fillId="0" borderId="0" xfId="0" applyFont="1" applyBorder="1"/>
    <xf numFmtId="2" fontId="0" fillId="0" borderId="0" xfId="0" applyNumberFormat="1" applyBorder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/>
    <xf numFmtId="1" fontId="1" fillId="2" borderId="1" xfId="0" applyNumberFormat="1" applyFont="1" applyFill="1" applyBorder="1" applyAlignment="1" applyProtection="1">
      <alignment horizontal="right" indent="1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1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0" xfId="0" applyFill="1" applyBorder="1" applyAlignment="1" applyProtection="1">
      <protection locked="0"/>
    </xf>
    <xf numFmtId="0" fontId="0" fillId="0" borderId="51" xfId="0" applyBorder="1" applyAlignment="1"/>
    <xf numFmtId="0" fontId="0" fillId="0" borderId="52" xfId="0" applyBorder="1" applyAlignment="1"/>
    <xf numFmtId="0" fontId="0" fillId="2" borderId="47" xfId="0" applyFill="1" applyBorder="1" applyAlignment="1" applyProtection="1">
      <protection locked="0"/>
    </xf>
    <xf numFmtId="0" fontId="0" fillId="0" borderId="48" xfId="0" applyBorder="1" applyAlignment="1"/>
    <xf numFmtId="0" fontId="0" fillId="0" borderId="49" xfId="0" applyBorder="1" applyAlignment="1"/>
    <xf numFmtId="14" fontId="0" fillId="2" borderId="42" xfId="0" applyNumberFormat="1" applyFill="1" applyBorder="1" applyAlignment="1" applyProtection="1">
      <alignment horizontal="left"/>
      <protection locked="0"/>
    </xf>
    <xf numFmtId="0" fontId="0" fillId="2" borderId="34" xfId="0" applyFill="1" applyBorder="1" applyAlignment="1" applyProtection="1">
      <alignment horizontal="left"/>
      <protection locked="0"/>
    </xf>
    <xf numFmtId="0" fontId="0" fillId="2" borderId="43" xfId="0" applyFill="1" applyBorder="1" applyAlignment="1" applyProtection="1">
      <alignment horizontal="left"/>
      <protection locked="0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15" fontId="0" fillId="2" borderId="36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2" fillId="2" borderId="31" xfId="1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7" xfId="0" applyFill="1" applyBorder="1" applyAlignment="1" applyProtection="1">
      <protection locked="0"/>
    </xf>
    <xf numFmtId="0" fontId="0" fillId="2" borderId="39" xfId="0" applyFill="1" applyBorder="1" applyAlignment="1" applyProtection="1">
      <protection locked="0"/>
    </xf>
    <xf numFmtId="0" fontId="0" fillId="2" borderId="40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0" borderId="28" xfId="0" applyBorder="1" applyAlignment="1">
      <alignment horizontal="center" textRotation="90" wrapText="1"/>
    </xf>
    <xf numFmtId="0" fontId="0" fillId="0" borderId="29" xfId="0" applyBorder="1" applyAlignment="1">
      <alignment horizontal="center" textRotation="90" wrapText="1"/>
    </xf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horizontal="center"/>
      <protection hidden="1"/>
    </xf>
    <xf numFmtId="0" fontId="0" fillId="0" borderId="4" xfId="0" applyBorder="1" applyProtection="1"/>
    <xf numFmtId="2" fontId="0" fillId="0" borderId="53" xfId="0" applyNumberFormat="1" applyBorder="1" applyAlignment="1" applyProtection="1">
      <alignment horizontal="right" indent="1"/>
      <protection locked="0"/>
    </xf>
    <xf numFmtId="0" fontId="0" fillId="0" borderId="54" xfId="0" applyBorder="1" applyAlignment="1" applyProtection="1">
      <alignment horizontal="right" indent="1"/>
      <protection locked="0"/>
    </xf>
    <xf numFmtId="0" fontId="0" fillId="0" borderId="37" xfId="0" applyBorder="1"/>
    <xf numFmtId="2" fontId="0" fillId="0" borderId="0" xfId="0" applyNumberFormat="1" applyBorder="1" applyAlignment="1" applyProtection="1">
      <alignment horizontal="right" indent="1"/>
      <protection hidden="1"/>
    </xf>
    <xf numFmtId="2" fontId="0" fillId="0" borderId="11" xfId="0" applyNumberFormat="1" applyBorder="1" applyAlignment="1" applyProtection="1">
      <alignment horizontal="right" indent="1"/>
      <protection hidden="1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38100</xdr:rowOff>
    </xdr:from>
    <xdr:to>
      <xdr:col>6</xdr:col>
      <xdr:colOff>419625</xdr:colOff>
      <xdr:row>38</xdr:row>
      <xdr:rowOff>142875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876300"/>
          <a:ext cx="4210575" cy="6391275"/>
        </a:xfrm>
        <a:prstGeom prst="rect">
          <a:avLst/>
        </a:prstGeom>
      </xdr:spPr>
    </xdr:pic>
    <xdr:clientData/>
  </xdr:twoCellAnchor>
  <xdr:twoCellAnchor>
    <xdr:from>
      <xdr:col>1</xdr:col>
      <xdr:colOff>314326</xdr:colOff>
      <xdr:row>17</xdr:row>
      <xdr:rowOff>38099</xdr:rowOff>
    </xdr:from>
    <xdr:to>
      <xdr:col>2</xdr:col>
      <xdr:colOff>371476</xdr:colOff>
      <xdr:row>20</xdr:row>
      <xdr:rowOff>9524</xdr:rowOff>
    </xdr:to>
    <xdr:sp macro="" textlink="">
      <xdr:nvSpPr>
        <xdr:cNvPr id="5" name="Pfeil nach link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76326" y="3162299"/>
          <a:ext cx="819150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Leibung</a:t>
          </a:r>
        </a:p>
      </xdr:txBody>
    </xdr:sp>
    <xdr:clientData/>
  </xdr:twoCellAnchor>
  <xdr:twoCellAnchor>
    <xdr:from>
      <xdr:col>3</xdr:col>
      <xdr:colOff>637536</xdr:colOff>
      <xdr:row>7</xdr:row>
      <xdr:rowOff>160659</xdr:rowOff>
    </xdr:from>
    <xdr:to>
      <xdr:col>5</xdr:col>
      <xdr:colOff>316202</xdr:colOff>
      <xdr:row>10</xdr:row>
      <xdr:rowOff>132084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9376325">
          <a:off x="2923536" y="1379859"/>
          <a:ext cx="1202666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Storenkasten</a:t>
          </a:r>
        </a:p>
      </xdr:txBody>
    </xdr:sp>
    <xdr:clientData/>
  </xdr:twoCellAnchor>
  <xdr:twoCellAnchor>
    <xdr:from>
      <xdr:col>6</xdr:col>
      <xdr:colOff>19051</xdr:colOff>
      <xdr:row>16</xdr:row>
      <xdr:rowOff>28575</xdr:rowOff>
    </xdr:from>
    <xdr:to>
      <xdr:col>7</xdr:col>
      <xdr:colOff>304801</xdr:colOff>
      <xdr:row>19</xdr:row>
      <xdr:rowOff>0</xdr:rowOff>
    </xdr:to>
    <xdr:sp macro="" textlink="">
      <xdr:nvSpPr>
        <xdr:cNvPr id="7" name="Pfeil nach link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591051" y="2962275"/>
          <a:ext cx="1047750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Wasserkanal</a:t>
          </a:r>
        </a:p>
      </xdr:txBody>
    </xdr:sp>
    <xdr:clientData/>
  </xdr:twoCellAnchor>
  <xdr:twoCellAnchor>
    <xdr:from>
      <xdr:col>3</xdr:col>
      <xdr:colOff>538162</xdr:colOff>
      <xdr:row>25</xdr:row>
      <xdr:rowOff>90488</xdr:rowOff>
    </xdr:from>
    <xdr:to>
      <xdr:col>4</xdr:col>
      <xdr:colOff>319087</xdr:colOff>
      <xdr:row>31</xdr:row>
      <xdr:rowOff>128588</xdr:rowOff>
    </xdr:to>
    <xdr:sp macro="" textlink="">
      <xdr:nvSpPr>
        <xdr:cNvPr id="8" name="Pfeil nach links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18892518">
          <a:off x="2505075" y="5057775"/>
          <a:ext cx="1181100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Fensterbank</a:t>
          </a:r>
        </a:p>
      </xdr:txBody>
    </xdr:sp>
    <xdr:clientData/>
  </xdr:twoCellAnchor>
  <xdr:twoCellAnchor>
    <xdr:from>
      <xdr:col>5</xdr:col>
      <xdr:colOff>438150</xdr:colOff>
      <xdr:row>38</xdr:row>
      <xdr:rowOff>152400</xdr:rowOff>
    </xdr:from>
    <xdr:to>
      <xdr:col>6</xdr:col>
      <xdr:colOff>723900</xdr:colOff>
      <xdr:row>41</xdr:row>
      <xdr:rowOff>123825</xdr:rowOff>
    </xdr:to>
    <xdr:sp macro="" textlink="">
      <xdr:nvSpPr>
        <xdr:cNvPr id="9" name="Pfeil nach link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rot="2032046">
          <a:off x="4248150" y="7277100"/>
          <a:ext cx="1047750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aseline="0"/>
            <a:t>  Abbug</a:t>
          </a:r>
          <a:endParaRPr lang="de-CH" sz="1100"/>
        </a:p>
      </xdr:txBody>
    </xdr:sp>
    <xdr:clientData/>
  </xdr:twoCellAnchor>
  <xdr:twoCellAnchor>
    <xdr:from>
      <xdr:col>5</xdr:col>
      <xdr:colOff>533400</xdr:colOff>
      <xdr:row>21</xdr:row>
      <xdr:rowOff>152400</xdr:rowOff>
    </xdr:from>
    <xdr:to>
      <xdr:col>7</xdr:col>
      <xdr:colOff>419100</xdr:colOff>
      <xdr:row>24</xdr:row>
      <xdr:rowOff>123825</xdr:rowOff>
    </xdr:to>
    <xdr:sp macro="" textlink="">
      <xdr:nvSpPr>
        <xdr:cNvPr id="11" name="Pfeil nach links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43400" y="4038600"/>
          <a:ext cx="1409700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aseline="0"/>
            <a:t> ohne Quetschbug</a:t>
          </a:r>
          <a:endParaRPr lang="de-CH" sz="1100"/>
        </a:p>
      </xdr:txBody>
    </xdr:sp>
    <xdr:clientData/>
  </xdr:twoCellAnchor>
  <xdr:twoCellAnchor>
    <xdr:from>
      <xdr:col>5</xdr:col>
      <xdr:colOff>533400</xdr:colOff>
      <xdr:row>25</xdr:row>
      <xdr:rowOff>57150</xdr:rowOff>
    </xdr:from>
    <xdr:to>
      <xdr:col>7</xdr:col>
      <xdr:colOff>419100</xdr:colOff>
      <xdr:row>28</xdr:row>
      <xdr:rowOff>28575</xdr:rowOff>
    </xdr:to>
    <xdr:sp macro="" textlink="">
      <xdr:nvSpPr>
        <xdr:cNvPr id="12" name="Pfeil nach links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43400" y="4705350"/>
          <a:ext cx="1409700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aseline="0"/>
            <a:t> mit Quetschbug</a:t>
          </a:r>
          <a:endParaRPr lang="de-CH" sz="1100"/>
        </a:p>
      </xdr:txBody>
    </xdr:sp>
    <xdr:clientData/>
  </xdr:twoCellAnchor>
  <xdr:twoCellAnchor>
    <xdr:from>
      <xdr:col>0</xdr:col>
      <xdr:colOff>733425</xdr:colOff>
      <xdr:row>28</xdr:row>
      <xdr:rowOff>171450</xdr:rowOff>
    </xdr:from>
    <xdr:to>
      <xdr:col>5</xdr:col>
      <xdr:colOff>419100</xdr:colOff>
      <xdr:row>39</xdr:row>
      <xdr:rowOff>114300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733425" y="5648325"/>
          <a:ext cx="3495675" cy="2038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685800</xdr:colOff>
      <xdr:row>5</xdr:row>
      <xdr:rowOff>76200</xdr:rowOff>
    </xdr:from>
    <xdr:to>
      <xdr:col>0</xdr:col>
      <xdr:colOff>685800</xdr:colOff>
      <xdr:row>27</xdr:row>
      <xdr:rowOff>85725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685800" y="1171575"/>
          <a:ext cx="0" cy="4200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22</xdr:row>
      <xdr:rowOff>66675</xdr:rowOff>
    </xdr:from>
    <xdr:to>
      <xdr:col>1</xdr:col>
      <xdr:colOff>742950</xdr:colOff>
      <xdr:row>24</xdr:row>
      <xdr:rowOff>66675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895350" y="4400550"/>
          <a:ext cx="609600" cy="381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26</xdr:row>
      <xdr:rowOff>9525</xdr:rowOff>
    </xdr:from>
    <xdr:to>
      <xdr:col>2</xdr:col>
      <xdr:colOff>257175</xdr:colOff>
      <xdr:row>28</xdr:row>
      <xdr:rowOff>85725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114425" y="5105400"/>
          <a:ext cx="666750" cy="4572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368210</xdr:colOff>
      <xdr:row>17</xdr:row>
      <xdr:rowOff>76200</xdr:rowOff>
    </xdr:from>
    <xdr:ext cx="269966" cy="561949"/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68210" y="3457575"/>
          <a:ext cx="269966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</a:p>
      </xdr:txBody>
    </xdr:sp>
    <xdr:clientData/>
  </xdr:oneCellAnchor>
  <xdr:oneCellAnchor>
    <xdr:from>
      <xdr:col>2</xdr:col>
      <xdr:colOff>581025</xdr:colOff>
      <xdr:row>33</xdr:row>
      <xdr:rowOff>104775</xdr:rowOff>
    </xdr:from>
    <xdr:ext cx="269966" cy="561949"/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05025" y="6534150"/>
          <a:ext cx="269966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oneCellAnchor>
  <xdr:oneCellAnchor>
    <xdr:from>
      <xdr:col>1</xdr:col>
      <xdr:colOff>314325</xdr:colOff>
      <xdr:row>20</xdr:row>
      <xdr:rowOff>104775</xdr:rowOff>
    </xdr:from>
    <xdr:ext cx="269966" cy="561949"/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076325" y="4057650"/>
          <a:ext cx="269966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</a:t>
          </a:r>
        </a:p>
      </xdr:txBody>
    </xdr:sp>
    <xdr:clientData/>
  </xdr:oneCellAnchor>
  <xdr:oneCellAnchor>
    <xdr:from>
      <xdr:col>1</xdr:col>
      <xdr:colOff>85725</xdr:colOff>
      <xdr:row>27</xdr:row>
      <xdr:rowOff>28575</xdr:rowOff>
    </xdr:from>
    <xdr:ext cx="1933576" cy="405432"/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847725" y="5314950"/>
          <a:ext cx="1933576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T-FB</a:t>
          </a:r>
        </a:p>
      </xdr:txBody>
    </xdr:sp>
    <xdr:clientData/>
  </xdr:oneCellAnchor>
  <xdr:twoCellAnchor editAs="oneCell">
    <xdr:from>
      <xdr:col>8</xdr:col>
      <xdr:colOff>123827</xdr:colOff>
      <xdr:row>5</xdr:row>
      <xdr:rowOff>27525</xdr:rowOff>
    </xdr:from>
    <xdr:to>
      <xdr:col>10</xdr:col>
      <xdr:colOff>476251</xdr:colOff>
      <xdr:row>18</xdr:row>
      <xdr:rowOff>189472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7" y="1122900"/>
          <a:ext cx="1876424" cy="2638447"/>
        </a:xfrm>
        <a:prstGeom prst="rect">
          <a:avLst/>
        </a:prstGeom>
      </xdr:spPr>
    </xdr:pic>
    <xdr:clientData/>
  </xdr:twoCellAnchor>
  <xdr:twoCellAnchor>
    <xdr:from>
      <xdr:col>10</xdr:col>
      <xdr:colOff>447675</xdr:colOff>
      <xdr:row>10</xdr:row>
      <xdr:rowOff>114300</xdr:rowOff>
    </xdr:from>
    <xdr:to>
      <xdr:col>12</xdr:col>
      <xdr:colOff>466725</xdr:colOff>
      <xdr:row>13</xdr:row>
      <xdr:rowOff>85725</xdr:rowOff>
    </xdr:to>
    <xdr:sp macro="" textlink="">
      <xdr:nvSpPr>
        <xdr:cNvPr id="30" name="Pfeil nach links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8067675" y="2162175"/>
          <a:ext cx="1543050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Steckprofil</a:t>
          </a:r>
          <a:r>
            <a:rPr lang="de-CH" sz="1100" baseline="0"/>
            <a:t>  28x48</a:t>
          </a:r>
          <a:endParaRPr lang="de-CH" sz="1100"/>
        </a:p>
      </xdr:txBody>
    </xdr:sp>
    <xdr:clientData/>
  </xdr:twoCellAnchor>
  <xdr:twoCellAnchor editAs="oneCell">
    <xdr:from>
      <xdr:col>8</xdr:col>
      <xdr:colOff>114301</xdr:colOff>
      <xdr:row>20</xdr:row>
      <xdr:rowOff>47625</xdr:rowOff>
    </xdr:from>
    <xdr:to>
      <xdr:col>10</xdr:col>
      <xdr:colOff>695325</xdr:colOff>
      <xdr:row>34</xdr:row>
      <xdr:rowOff>187323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847" t="33244" r="43419" b="37456"/>
        <a:stretch/>
      </xdr:blipFill>
      <xdr:spPr>
        <a:xfrm>
          <a:off x="6210301" y="4000500"/>
          <a:ext cx="2105024" cy="2806698"/>
        </a:xfrm>
        <a:prstGeom prst="rect">
          <a:avLst/>
        </a:prstGeom>
      </xdr:spPr>
    </xdr:pic>
    <xdr:clientData/>
  </xdr:twoCellAnchor>
  <xdr:twoCellAnchor>
    <xdr:from>
      <xdr:col>10</xdr:col>
      <xdr:colOff>476250</xdr:colOff>
      <xdr:row>25</xdr:row>
      <xdr:rowOff>133350</xdr:rowOff>
    </xdr:from>
    <xdr:to>
      <xdr:col>12</xdr:col>
      <xdr:colOff>447676</xdr:colOff>
      <xdr:row>28</xdr:row>
      <xdr:rowOff>104775</xdr:rowOff>
    </xdr:to>
    <xdr:sp macro="" textlink="">
      <xdr:nvSpPr>
        <xdr:cNvPr id="33" name="Pfeil nach links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8096250" y="5038725"/>
          <a:ext cx="1495426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Steckprofil</a:t>
          </a:r>
          <a:r>
            <a:rPr lang="de-CH" sz="1100" baseline="0"/>
            <a:t>  50x23</a:t>
          </a:r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X47"/>
  <sheetViews>
    <sheetView showGridLines="0" showRowColHeaders="0" tabSelected="1" zoomScale="80" zoomScaleNormal="80" workbookViewId="0">
      <selection activeCell="O34" sqref="O34"/>
    </sheetView>
  </sheetViews>
  <sheetFormatPr baseColWidth="10" defaultRowHeight="15" x14ac:dyDescent="0.25"/>
  <cols>
    <col min="1" max="1" width="4.28515625" customWidth="1"/>
    <col min="2" max="2" width="15.7109375" customWidth="1"/>
    <col min="3" max="3" width="5.7109375" customWidth="1"/>
    <col min="4" max="4" width="11.7109375" customWidth="1"/>
    <col min="5" max="7" width="8.7109375" customWidth="1"/>
    <col min="8" max="8" width="6.7109375" customWidth="1"/>
    <col min="10" max="11" width="8.7109375" customWidth="1"/>
    <col min="12" max="12" width="9.7109375" customWidth="1"/>
    <col min="13" max="13" width="8.7109375" customWidth="1"/>
    <col min="20" max="25" width="15.7109375" customWidth="1"/>
  </cols>
  <sheetData>
    <row r="1" spans="2:24" ht="21" thickBot="1" x14ac:dyDescent="0.35">
      <c r="B1" s="66"/>
    </row>
    <row r="2" spans="2:24" ht="15.75" thickBot="1" x14ac:dyDescent="0.3">
      <c r="B2" s="121" t="s">
        <v>106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68"/>
    </row>
    <row r="3" spans="2:24" x14ac:dyDescent="0.25">
      <c r="B3" s="7" t="s">
        <v>34</v>
      </c>
      <c r="C3" s="118"/>
      <c r="D3" s="119"/>
      <c r="E3" s="119"/>
      <c r="F3" s="119"/>
      <c r="G3" s="119"/>
      <c r="H3" s="119"/>
      <c r="I3" s="120"/>
      <c r="J3" s="3"/>
      <c r="K3" s="3"/>
      <c r="L3" s="3" t="s">
        <v>28</v>
      </c>
      <c r="M3" s="3"/>
      <c r="N3" s="133"/>
      <c r="O3" s="134"/>
      <c r="P3" s="134"/>
      <c r="Q3" s="134"/>
      <c r="R3" s="135"/>
    </row>
    <row r="4" spans="2:24" x14ac:dyDescent="0.25">
      <c r="B4" s="7" t="s">
        <v>20</v>
      </c>
      <c r="C4" s="109"/>
      <c r="D4" s="110"/>
      <c r="E4" s="110"/>
      <c r="F4" s="110"/>
      <c r="G4" s="110"/>
      <c r="H4" s="110"/>
      <c r="I4" s="111"/>
      <c r="J4" s="3"/>
      <c r="K4" s="3"/>
      <c r="L4" s="3"/>
      <c r="M4" s="3"/>
      <c r="N4" s="109"/>
      <c r="O4" s="110"/>
      <c r="P4" s="110"/>
      <c r="Q4" s="110"/>
      <c r="R4" s="111"/>
    </row>
    <row r="5" spans="2:24" x14ac:dyDescent="0.25">
      <c r="B5" s="7" t="s">
        <v>21</v>
      </c>
      <c r="C5" s="109"/>
      <c r="D5" s="110"/>
      <c r="E5" s="110"/>
      <c r="F5" s="110"/>
      <c r="G5" s="110"/>
      <c r="H5" s="110"/>
      <c r="I5" s="111"/>
      <c r="J5" s="3"/>
      <c r="K5" s="3"/>
      <c r="L5" s="3"/>
      <c r="M5" s="3"/>
      <c r="N5" s="109"/>
      <c r="O5" s="110"/>
      <c r="P5" s="110"/>
      <c r="Q5" s="110"/>
      <c r="R5" s="111"/>
    </row>
    <row r="6" spans="2:24" x14ac:dyDescent="0.25">
      <c r="B6" s="7" t="s">
        <v>22</v>
      </c>
      <c r="C6" s="109"/>
      <c r="D6" s="110"/>
      <c r="E6" s="110"/>
      <c r="F6" s="110"/>
      <c r="G6" s="110"/>
      <c r="H6" s="110"/>
      <c r="I6" s="111"/>
      <c r="J6" s="3"/>
      <c r="K6" s="3"/>
      <c r="L6" s="3"/>
      <c r="M6" s="3"/>
      <c r="N6" s="109"/>
      <c r="O6" s="110"/>
      <c r="P6" s="110"/>
      <c r="Q6" s="110"/>
      <c r="R6" s="111"/>
    </row>
    <row r="7" spans="2:24" x14ac:dyDescent="0.25">
      <c r="B7" s="7" t="s">
        <v>23</v>
      </c>
      <c r="C7" s="109"/>
      <c r="D7" s="110"/>
      <c r="E7" s="110"/>
      <c r="F7" s="110"/>
      <c r="G7" s="110"/>
      <c r="H7" s="110"/>
      <c r="I7" s="111"/>
      <c r="J7" s="3"/>
      <c r="K7" s="3"/>
      <c r="L7" s="3" t="s">
        <v>27</v>
      </c>
      <c r="M7" s="3"/>
      <c r="N7" s="109"/>
      <c r="O7" s="110"/>
      <c r="P7" s="110"/>
      <c r="Q7" s="110"/>
      <c r="R7" s="111"/>
    </row>
    <row r="8" spans="2:24" x14ac:dyDescent="0.25">
      <c r="B8" s="7" t="s">
        <v>24</v>
      </c>
      <c r="C8" s="132"/>
      <c r="D8" s="110"/>
      <c r="E8" s="110"/>
      <c r="F8" s="110"/>
      <c r="G8" s="110"/>
      <c r="H8" s="110"/>
      <c r="I8" s="111"/>
      <c r="J8" s="3"/>
      <c r="K8" s="3"/>
      <c r="L8" s="3"/>
      <c r="M8" s="3"/>
      <c r="N8" s="109"/>
      <c r="O8" s="110"/>
      <c r="P8" s="110"/>
      <c r="Q8" s="110"/>
      <c r="R8" s="111"/>
    </row>
    <row r="9" spans="2:24" ht="15.75" thickBot="1" x14ac:dyDescent="0.3">
      <c r="B9" s="7" t="s">
        <v>25</v>
      </c>
      <c r="C9" s="109"/>
      <c r="D9" s="110"/>
      <c r="E9" s="110"/>
      <c r="F9" s="110"/>
      <c r="G9" s="110"/>
      <c r="H9" s="110"/>
      <c r="I9" s="111"/>
      <c r="J9" s="3"/>
      <c r="K9" s="3"/>
      <c r="L9" s="3"/>
      <c r="M9" s="3"/>
      <c r="N9" s="140"/>
      <c r="O9" s="141"/>
      <c r="P9" s="141"/>
      <c r="Q9" s="141"/>
      <c r="R9" s="142"/>
    </row>
    <row r="10" spans="2:24" ht="15.75" thickBot="1" x14ac:dyDescent="0.3">
      <c r="B10" s="7" t="s">
        <v>26</v>
      </c>
      <c r="C10" s="129"/>
      <c r="D10" s="130"/>
      <c r="E10" s="130"/>
      <c r="F10" s="130"/>
      <c r="G10" s="130"/>
      <c r="H10" s="130"/>
      <c r="I10" s="131"/>
      <c r="J10" s="3"/>
      <c r="K10" s="3"/>
      <c r="L10" s="3" t="s">
        <v>77</v>
      </c>
      <c r="M10" s="3"/>
      <c r="N10" s="143"/>
      <c r="O10" s="144"/>
      <c r="P10" s="144"/>
      <c r="Q10" s="144"/>
      <c r="R10" s="145"/>
    </row>
    <row r="11" spans="2:24" ht="15.75" thickBot="1" x14ac:dyDescent="0.3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7"/>
    </row>
    <row r="12" spans="2:24" ht="9.9499999999999993" customHeight="1" thickBot="1" x14ac:dyDescent="0.3">
      <c r="B12" s="3"/>
    </row>
    <row r="13" spans="2:24" x14ac:dyDescent="0.25">
      <c r="B13" s="8"/>
      <c r="C13" s="128" t="s">
        <v>8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7"/>
      <c r="O13" s="9" t="s">
        <v>12</v>
      </c>
      <c r="P13" s="126" t="s">
        <v>107</v>
      </c>
      <c r="Q13" s="128"/>
      <c r="R13" s="146" t="s">
        <v>37</v>
      </c>
    </row>
    <row r="14" spans="2:24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1"/>
      <c r="Q14" s="11"/>
      <c r="R14" s="147"/>
    </row>
    <row r="15" spans="2:24" x14ac:dyDescent="0.25">
      <c r="B15" s="10" t="s">
        <v>15</v>
      </c>
      <c r="C15" s="105" t="s">
        <v>0</v>
      </c>
      <c r="D15" s="106" t="s">
        <v>35</v>
      </c>
      <c r="E15" s="123" t="s">
        <v>39</v>
      </c>
      <c r="F15" s="125"/>
      <c r="G15" s="124"/>
      <c r="H15" s="123" t="s">
        <v>6</v>
      </c>
      <c r="I15" s="124"/>
      <c r="J15" s="123" t="s">
        <v>9</v>
      </c>
      <c r="K15" s="125"/>
      <c r="L15" s="124"/>
      <c r="M15" s="14" t="s">
        <v>19</v>
      </c>
      <c r="N15" s="12" t="s">
        <v>11</v>
      </c>
      <c r="O15" s="13"/>
      <c r="P15" s="104"/>
      <c r="Q15" s="150"/>
      <c r="R15" s="147"/>
      <c r="T15" s="136"/>
      <c r="U15" s="136"/>
      <c r="V15" s="136"/>
      <c r="W15" s="136"/>
      <c r="X15" s="136"/>
    </row>
    <row r="16" spans="2:24" ht="23.25" x14ac:dyDescent="0.25">
      <c r="B16" s="10" t="s">
        <v>16</v>
      </c>
      <c r="C16" s="105" t="s">
        <v>2</v>
      </c>
      <c r="D16" s="106" t="s">
        <v>10</v>
      </c>
      <c r="E16" s="123" t="s">
        <v>1</v>
      </c>
      <c r="F16" s="125"/>
      <c r="G16" s="124"/>
      <c r="H16" s="14" t="s">
        <v>7</v>
      </c>
      <c r="I16" s="14" t="s">
        <v>17</v>
      </c>
      <c r="J16" s="14"/>
      <c r="K16" s="100" t="s">
        <v>102</v>
      </c>
      <c r="L16" s="105" t="s">
        <v>76</v>
      </c>
      <c r="M16" s="14" t="s">
        <v>10</v>
      </c>
      <c r="N16" s="105" t="s">
        <v>10</v>
      </c>
      <c r="O16" s="14" t="s">
        <v>10</v>
      </c>
      <c r="P16" s="104"/>
      <c r="Q16" s="106"/>
      <c r="R16" s="147"/>
      <c r="T16" s="23"/>
      <c r="U16" s="23"/>
      <c r="V16" s="23"/>
    </row>
    <row r="17" spans="2:24" x14ac:dyDescent="0.25">
      <c r="B17" s="15"/>
      <c r="C17" s="16"/>
      <c r="D17" s="16"/>
      <c r="E17" s="17" t="s">
        <v>3</v>
      </c>
      <c r="F17" s="17" t="s">
        <v>4</v>
      </c>
      <c r="G17" s="17" t="s">
        <v>5</v>
      </c>
      <c r="H17" s="17" t="s">
        <v>1</v>
      </c>
      <c r="I17" s="17" t="s">
        <v>18</v>
      </c>
      <c r="J17" s="17" t="s">
        <v>36</v>
      </c>
      <c r="K17" s="18" t="s">
        <v>36</v>
      </c>
      <c r="L17" s="18" t="s">
        <v>1</v>
      </c>
      <c r="M17" s="16"/>
      <c r="N17" s="19"/>
      <c r="O17" s="16"/>
      <c r="P17" s="151"/>
      <c r="Q17" s="11"/>
      <c r="R17" s="20" t="s">
        <v>36</v>
      </c>
    </row>
    <row r="18" spans="2:24" x14ac:dyDescent="0.25">
      <c r="B18" s="77"/>
      <c r="C18" s="52"/>
      <c r="D18" s="62"/>
      <c r="E18" s="52"/>
      <c r="F18" s="52"/>
      <c r="G18" s="52"/>
      <c r="H18" s="52"/>
      <c r="I18" s="62"/>
      <c r="J18" s="62"/>
      <c r="K18" s="62"/>
      <c r="L18" s="52"/>
      <c r="M18" s="62"/>
      <c r="N18" s="62"/>
      <c r="O18" s="62"/>
      <c r="P18" s="152"/>
      <c r="Q18" s="153"/>
      <c r="R18" s="53"/>
      <c r="T18" s="24"/>
      <c r="U18" s="25"/>
      <c r="V18" s="25"/>
      <c r="W18" s="25"/>
      <c r="X18" s="25"/>
    </row>
    <row r="19" spans="2:24" x14ac:dyDescent="0.25">
      <c r="B19" s="77"/>
      <c r="C19" s="52"/>
      <c r="D19" s="62"/>
      <c r="E19" s="52"/>
      <c r="F19" s="52"/>
      <c r="G19" s="52"/>
      <c r="H19" s="52"/>
      <c r="I19" s="62"/>
      <c r="J19" s="62"/>
      <c r="K19" s="62"/>
      <c r="L19" s="52"/>
      <c r="M19" s="62"/>
      <c r="N19" s="62"/>
      <c r="O19" s="62"/>
      <c r="P19" s="152"/>
      <c r="Q19" s="153"/>
      <c r="R19" s="53"/>
      <c r="T19" s="24"/>
      <c r="U19" s="25"/>
      <c r="V19" s="25"/>
      <c r="W19" s="25"/>
      <c r="X19" s="25"/>
    </row>
    <row r="20" spans="2:24" x14ac:dyDescent="0.25">
      <c r="B20" s="77"/>
      <c r="C20" s="52"/>
      <c r="D20" s="62"/>
      <c r="E20" s="52"/>
      <c r="F20" s="52"/>
      <c r="G20" s="52"/>
      <c r="H20" s="52"/>
      <c r="I20" s="62"/>
      <c r="J20" s="62"/>
      <c r="K20" s="62"/>
      <c r="L20" s="52"/>
      <c r="M20" s="62"/>
      <c r="N20" s="62"/>
      <c r="O20" s="62"/>
      <c r="P20" s="152"/>
      <c r="Q20" s="153"/>
      <c r="R20" s="53"/>
      <c r="T20" s="24"/>
      <c r="U20" s="25"/>
      <c r="V20" s="25"/>
      <c r="W20" s="25"/>
      <c r="X20" s="25"/>
    </row>
    <row r="21" spans="2:24" x14ac:dyDescent="0.25">
      <c r="B21" s="77"/>
      <c r="C21" s="52"/>
      <c r="D21" s="62"/>
      <c r="E21" s="52"/>
      <c r="F21" s="52"/>
      <c r="G21" s="52"/>
      <c r="H21" s="52"/>
      <c r="I21" s="62"/>
      <c r="J21" s="62"/>
      <c r="K21" s="62"/>
      <c r="L21" s="52"/>
      <c r="M21" s="62"/>
      <c r="N21" s="62"/>
      <c r="O21" s="62"/>
      <c r="P21" s="152"/>
      <c r="Q21" s="153"/>
      <c r="R21" s="53"/>
      <c r="T21" s="24"/>
      <c r="U21" s="25"/>
      <c r="V21" s="25"/>
      <c r="W21" s="25"/>
      <c r="X21" s="25"/>
    </row>
    <row r="22" spans="2:24" x14ac:dyDescent="0.25">
      <c r="B22" s="77"/>
      <c r="C22" s="52"/>
      <c r="D22" s="62"/>
      <c r="E22" s="52"/>
      <c r="F22" s="52"/>
      <c r="G22" s="52"/>
      <c r="H22" s="52"/>
      <c r="I22" s="62"/>
      <c r="J22" s="62"/>
      <c r="K22" s="62"/>
      <c r="L22" s="52"/>
      <c r="M22" s="62"/>
      <c r="N22" s="62"/>
      <c r="O22" s="62"/>
      <c r="P22" s="152"/>
      <c r="Q22" s="153"/>
      <c r="R22" s="53"/>
      <c r="T22" s="24"/>
      <c r="U22" s="25"/>
      <c r="V22" s="25"/>
      <c r="W22" s="25"/>
      <c r="X22" s="25"/>
    </row>
    <row r="23" spans="2:24" x14ac:dyDescent="0.25">
      <c r="B23" s="77"/>
      <c r="C23" s="52"/>
      <c r="D23" s="62"/>
      <c r="E23" s="52"/>
      <c r="F23" s="52"/>
      <c r="G23" s="52"/>
      <c r="H23" s="52"/>
      <c r="I23" s="62"/>
      <c r="J23" s="62"/>
      <c r="K23" s="62"/>
      <c r="L23" s="52"/>
      <c r="M23" s="62"/>
      <c r="N23" s="62"/>
      <c r="O23" s="62"/>
      <c r="P23" s="152"/>
      <c r="Q23" s="153"/>
      <c r="R23" s="53"/>
      <c r="T23" s="24"/>
      <c r="U23" s="25"/>
      <c r="V23" s="25"/>
      <c r="W23" s="25"/>
      <c r="X23" s="25"/>
    </row>
    <row r="24" spans="2:24" x14ac:dyDescent="0.25">
      <c r="B24" s="77"/>
      <c r="C24" s="52"/>
      <c r="D24" s="62"/>
      <c r="E24" s="52"/>
      <c r="F24" s="52"/>
      <c r="G24" s="52"/>
      <c r="H24" s="52"/>
      <c r="I24" s="62"/>
      <c r="J24" s="62"/>
      <c r="K24" s="62"/>
      <c r="L24" s="52"/>
      <c r="M24" s="62"/>
      <c r="N24" s="62"/>
      <c r="O24" s="62"/>
      <c r="P24" s="152"/>
      <c r="Q24" s="153"/>
      <c r="R24" s="53"/>
      <c r="T24" s="24"/>
      <c r="U24" s="25"/>
      <c r="V24" s="25"/>
      <c r="W24" s="25"/>
      <c r="X24" s="25"/>
    </row>
    <row r="25" spans="2:24" x14ac:dyDescent="0.25">
      <c r="B25" s="77"/>
      <c r="C25" s="52"/>
      <c r="D25" s="62"/>
      <c r="E25" s="52"/>
      <c r="F25" s="52"/>
      <c r="G25" s="52"/>
      <c r="H25" s="52"/>
      <c r="I25" s="62"/>
      <c r="J25" s="62"/>
      <c r="K25" s="62"/>
      <c r="L25" s="52"/>
      <c r="M25" s="62"/>
      <c r="N25" s="62"/>
      <c r="O25" s="62"/>
      <c r="P25" s="152"/>
      <c r="Q25" s="153"/>
      <c r="R25" s="53"/>
      <c r="T25" s="24"/>
      <c r="U25" s="25"/>
      <c r="V25" s="25"/>
      <c r="W25" s="25"/>
      <c r="X25" s="25"/>
    </row>
    <row r="26" spans="2:24" x14ac:dyDescent="0.25">
      <c r="B26" s="77"/>
      <c r="C26" s="52"/>
      <c r="D26" s="62"/>
      <c r="E26" s="52"/>
      <c r="F26" s="52"/>
      <c r="G26" s="52"/>
      <c r="H26" s="52"/>
      <c r="I26" s="62"/>
      <c r="J26" s="62"/>
      <c r="K26" s="62"/>
      <c r="L26" s="52"/>
      <c r="M26" s="62"/>
      <c r="N26" s="62"/>
      <c r="O26" s="62"/>
      <c r="P26" s="152"/>
      <c r="Q26" s="153"/>
      <c r="R26" s="53"/>
      <c r="T26" s="24"/>
      <c r="U26" s="25"/>
      <c r="V26" s="25"/>
      <c r="W26" s="25"/>
      <c r="X26" s="25"/>
    </row>
    <row r="27" spans="2:24" x14ac:dyDescent="0.25">
      <c r="B27" s="77"/>
      <c r="C27" s="52"/>
      <c r="D27" s="62"/>
      <c r="E27" s="52"/>
      <c r="F27" s="52"/>
      <c r="G27" s="52"/>
      <c r="H27" s="52"/>
      <c r="I27" s="62"/>
      <c r="J27" s="62"/>
      <c r="K27" s="62"/>
      <c r="L27" s="52"/>
      <c r="M27" s="62"/>
      <c r="N27" s="62"/>
      <c r="O27" s="62"/>
      <c r="P27" s="152"/>
      <c r="Q27" s="153"/>
      <c r="R27" s="53"/>
      <c r="T27" s="24"/>
      <c r="U27" s="25"/>
      <c r="V27" s="25"/>
      <c r="W27" s="25"/>
      <c r="X27" s="25"/>
    </row>
    <row r="28" spans="2:24" x14ac:dyDescent="0.25">
      <c r="B28" s="77"/>
      <c r="C28" s="52"/>
      <c r="D28" s="62"/>
      <c r="E28" s="52"/>
      <c r="F28" s="52"/>
      <c r="G28" s="52"/>
      <c r="H28" s="52"/>
      <c r="I28" s="62"/>
      <c r="J28" s="62"/>
      <c r="K28" s="62"/>
      <c r="L28" s="52"/>
      <c r="M28" s="62"/>
      <c r="N28" s="62"/>
      <c r="O28" s="62"/>
      <c r="P28" s="152"/>
      <c r="Q28" s="153"/>
      <c r="R28" s="53"/>
      <c r="T28" s="24"/>
      <c r="U28" s="25"/>
      <c r="V28" s="25"/>
      <c r="W28" s="25"/>
      <c r="X28" s="25"/>
    </row>
    <row r="29" spans="2:24" x14ac:dyDescent="0.25">
      <c r="B29" s="77"/>
      <c r="C29" s="52"/>
      <c r="D29" s="62"/>
      <c r="E29" s="52"/>
      <c r="F29" s="52"/>
      <c r="G29" s="52"/>
      <c r="H29" s="52"/>
      <c r="I29" s="62"/>
      <c r="J29" s="62"/>
      <c r="K29" s="62"/>
      <c r="L29" s="52"/>
      <c r="M29" s="62"/>
      <c r="N29" s="62"/>
      <c r="O29" s="62"/>
      <c r="P29" s="152"/>
      <c r="Q29" s="153"/>
      <c r="R29" s="53"/>
      <c r="T29" s="25"/>
      <c r="U29" s="25"/>
      <c r="V29" s="25"/>
      <c r="W29" s="25"/>
      <c r="X29" s="25"/>
    </row>
    <row r="30" spans="2:24" x14ac:dyDescent="0.25">
      <c r="B30" s="77"/>
      <c r="C30" s="52"/>
      <c r="D30" s="62"/>
      <c r="E30" s="52"/>
      <c r="F30" s="52"/>
      <c r="G30" s="52"/>
      <c r="H30" s="52"/>
      <c r="I30" s="62"/>
      <c r="J30" s="62"/>
      <c r="K30" s="62"/>
      <c r="L30" s="52"/>
      <c r="M30" s="62"/>
      <c r="N30" s="62"/>
      <c r="O30" s="62"/>
      <c r="P30" s="152"/>
      <c r="Q30" s="153"/>
      <c r="R30" s="53"/>
      <c r="T30" s="25"/>
      <c r="U30" s="25"/>
      <c r="V30" s="25"/>
      <c r="W30" s="25"/>
      <c r="X30" s="25"/>
    </row>
    <row r="31" spans="2:24" x14ac:dyDescent="0.25">
      <c r="B31" s="77"/>
      <c r="C31" s="52"/>
      <c r="D31" s="62"/>
      <c r="E31" s="52"/>
      <c r="F31" s="52"/>
      <c r="G31" s="52"/>
      <c r="H31" s="52"/>
      <c r="I31" s="62"/>
      <c r="J31" s="62"/>
      <c r="K31" s="62"/>
      <c r="L31" s="52"/>
      <c r="M31" s="62"/>
      <c r="N31" s="62"/>
      <c r="O31" s="62"/>
      <c r="P31" s="152"/>
      <c r="Q31" s="153"/>
      <c r="R31" s="53"/>
      <c r="T31" s="24"/>
      <c r="U31" s="25"/>
      <c r="V31" s="25"/>
      <c r="W31" s="25"/>
      <c r="X31" s="25"/>
    </row>
    <row r="32" spans="2:24" x14ac:dyDescent="0.25">
      <c r="B32" s="77"/>
      <c r="C32" s="52"/>
      <c r="D32" s="62"/>
      <c r="E32" s="52"/>
      <c r="F32" s="52"/>
      <c r="G32" s="52"/>
      <c r="H32" s="52"/>
      <c r="I32" s="62"/>
      <c r="J32" s="62"/>
      <c r="K32" s="62"/>
      <c r="L32" s="52"/>
      <c r="M32" s="62"/>
      <c r="N32" s="62"/>
      <c r="O32" s="62"/>
      <c r="P32" s="152"/>
      <c r="Q32" s="153"/>
      <c r="R32" s="53"/>
      <c r="T32" s="24"/>
      <c r="U32" s="25"/>
      <c r="V32" s="25"/>
      <c r="W32" s="25"/>
      <c r="X32" s="25"/>
    </row>
    <row r="33" spans="2:24" x14ac:dyDescent="0.25">
      <c r="B33" s="77"/>
      <c r="C33" s="52"/>
      <c r="D33" s="62"/>
      <c r="E33" s="52"/>
      <c r="F33" s="52"/>
      <c r="G33" s="52"/>
      <c r="H33" s="52"/>
      <c r="I33" s="62"/>
      <c r="J33" s="62"/>
      <c r="K33" s="62"/>
      <c r="L33" s="52"/>
      <c r="M33" s="62"/>
      <c r="N33" s="62"/>
      <c r="O33" s="62"/>
      <c r="P33" s="152"/>
      <c r="Q33" s="153"/>
      <c r="R33" s="53"/>
      <c r="T33" s="24"/>
      <c r="U33" s="25"/>
      <c r="V33" s="25"/>
      <c r="W33" s="25"/>
      <c r="X33" s="25"/>
    </row>
    <row r="34" spans="2:24" x14ac:dyDescent="0.25">
      <c r="B34" s="77"/>
      <c r="C34" s="52"/>
      <c r="D34" s="62"/>
      <c r="E34" s="52"/>
      <c r="F34" s="52"/>
      <c r="G34" s="52"/>
      <c r="H34" s="52"/>
      <c r="I34" s="62"/>
      <c r="J34" s="62"/>
      <c r="K34" s="62"/>
      <c r="L34" s="52"/>
      <c r="M34" s="62"/>
      <c r="N34" s="62"/>
      <c r="O34" s="62"/>
      <c r="P34" s="152"/>
      <c r="Q34" s="153"/>
      <c r="R34" s="53"/>
      <c r="T34" s="24"/>
      <c r="U34" s="25"/>
      <c r="V34" s="25"/>
      <c r="W34" s="25"/>
      <c r="X34" s="25"/>
    </row>
    <row r="35" spans="2:24" x14ac:dyDescent="0.25">
      <c r="B35" s="99"/>
      <c r="C35" s="98"/>
      <c r="D35" s="62"/>
      <c r="E35" s="52"/>
      <c r="F35" s="52"/>
      <c r="G35" s="52"/>
      <c r="H35" s="52"/>
      <c r="I35" s="62"/>
      <c r="J35" s="62"/>
      <c r="K35" s="62"/>
      <c r="L35" s="52"/>
      <c r="M35" s="62"/>
      <c r="N35" s="62"/>
      <c r="O35" s="62"/>
      <c r="P35" s="152"/>
      <c r="Q35" s="153"/>
      <c r="R35" s="53"/>
      <c r="T35" s="24"/>
      <c r="U35" s="25"/>
      <c r="V35" s="25"/>
      <c r="W35" s="25"/>
      <c r="X35" s="25"/>
    </row>
    <row r="36" spans="2:24" x14ac:dyDescent="0.25">
      <c r="B36" s="6" t="s">
        <v>30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60"/>
      <c r="Q36" s="155" t="str">
        <f>IF(SUM(C18:C35)&gt;0,SUM(Q18:Q35)," ")</f>
        <v xml:space="preserve"> </v>
      </c>
      <c r="R36" s="154"/>
    </row>
    <row r="37" spans="2:24" x14ac:dyDescent="0.25">
      <c r="B37" s="7" t="s">
        <v>31</v>
      </c>
      <c r="C37" s="3"/>
      <c r="D37" s="3"/>
      <c r="E37" s="3"/>
      <c r="F37" s="3"/>
      <c r="G37" s="3"/>
      <c r="H37" s="3"/>
      <c r="I37" s="3"/>
      <c r="J37" s="3"/>
      <c r="K37" s="96" t="s">
        <v>105</v>
      </c>
      <c r="L37" s="101">
        <f>SUM(C18:C35)</f>
        <v>0</v>
      </c>
      <c r="M37" s="3"/>
      <c r="N37" s="22">
        <v>10</v>
      </c>
      <c r="O37" s="3" t="s">
        <v>32</v>
      </c>
      <c r="P37" s="107"/>
      <c r="Q37" s="155" t="str">
        <f>IF(SUM(C18:C35)&gt;0,Q36*N37/100,"")</f>
        <v/>
      </c>
      <c r="R37" s="86"/>
    </row>
    <row r="38" spans="2:24" ht="15.75" thickBot="1" x14ac:dyDescent="0.3">
      <c r="B38" s="5" t="s">
        <v>33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61"/>
      <c r="Q38" s="156" t="str">
        <f>IF(SUM(C18:C35)&gt;0,Q36-Q37," ")</f>
        <v xml:space="preserve"> </v>
      </c>
      <c r="R38" s="67"/>
    </row>
    <row r="39" spans="2:24" ht="9.9499999999999993" customHeight="1" thickBot="1" x14ac:dyDescent="0.3"/>
    <row r="40" spans="2:24" x14ac:dyDescent="0.25">
      <c r="B40" s="115" t="s">
        <v>38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7"/>
    </row>
    <row r="41" spans="2:24" x14ac:dyDescent="0.25">
      <c r="B41" s="137" t="s">
        <v>101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9"/>
    </row>
    <row r="42" spans="2:24" ht="15.75" thickBot="1" x14ac:dyDescent="0.3">
      <c r="B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4"/>
    </row>
    <row r="43" spans="2:24" x14ac:dyDescent="0.25">
      <c r="B43" s="108" t="s">
        <v>73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</row>
    <row r="45" spans="2:24" x14ac:dyDescent="0.25">
      <c r="B45" s="102"/>
    </row>
    <row r="46" spans="2:24" x14ac:dyDescent="0.25">
      <c r="B46" s="103"/>
    </row>
    <row r="47" spans="2:24" x14ac:dyDescent="0.25">
      <c r="B47" s="103"/>
    </row>
  </sheetData>
  <sheetProtection algorithmName="SHA-512" hashValue="MMm2PspKOKEIpQbHRDw9brVAG7xjJScLLA1XPwnx4MtP1ryaJmegz65MAg12V3fWrRjx1NwwHvOnt9GJ0HypkA==" saltValue="r7jkgvrA4qSsSDbEYfpFqw==" spinCount="100000" sheet="1" selectLockedCells="1"/>
  <mergeCells count="48">
    <mergeCell ref="T15:V15"/>
    <mergeCell ref="W15:X15"/>
    <mergeCell ref="B41:R41"/>
    <mergeCell ref="N9:R9"/>
    <mergeCell ref="N10:R10"/>
    <mergeCell ref="R13:R16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C3:I3"/>
    <mergeCell ref="B2:Q2"/>
    <mergeCell ref="E15:G15"/>
    <mergeCell ref="E16:G16"/>
    <mergeCell ref="H15:I15"/>
    <mergeCell ref="J15:L15"/>
    <mergeCell ref="P13:Q13"/>
    <mergeCell ref="C13:N13"/>
    <mergeCell ref="C9:I9"/>
    <mergeCell ref="C10:I10"/>
    <mergeCell ref="C4:I4"/>
    <mergeCell ref="C5:I5"/>
    <mergeCell ref="C7:I7"/>
    <mergeCell ref="C6:I6"/>
    <mergeCell ref="C8:I8"/>
    <mergeCell ref="N3:R3"/>
    <mergeCell ref="B43:R43"/>
    <mergeCell ref="N4:R4"/>
    <mergeCell ref="N5:R5"/>
    <mergeCell ref="N6:R6"/>
    <mergeCell ref="N7:R7"/>
    <mergeCell ref="N8:R8"/>
    <mergeCell ref="B42:R42"/>
    <mergeCell ref="B40:R40"/>
    <mergeCell ref="P28:Q28"/>
    <mergeCell ref="P29:Q29"/>
    <mergeCell ref="P30:Q30"/>
    <mergeCell ref="P31:Q31"/>
    <mergeCell ref="P33:Q33"/>
    <mergeCell ref="P32:Q32"/>
    <mergeCell ref="P34:Q34"/>
    <mergeCell ref="P35:Q35"/>
  </mergeCells>
  <pageMargins left="0.23622047244094491" right="0.23622047244094491" top="1.3573958333333334" bottom="0" header="0.31496062992125984" footer="0.31496062992125984"/>
  <pageSetup paperSize="9" scale="77" orientation="landscape" r:id="rId1"/>
  <headerFooter>
    <oddHeader>&amp;L&amp;8&amp;G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V68"/>
  <sheetViews>
    <sheetView topLeftCell="A7" zoomScaleNormal="100" workbookViewId="0">
      <selection activeCell="N43" sqref="N43"/>
    </sheetView>
  </sheetViews>
  <sheetFormatPr baseColWidth="10" defaultRowHeight="15" x14ac:dyDescent="0.25"/>
  <cols>
    <col min="1" max="2" width="9.7109375" customWidth="1"/>
    <col min="3" max="3" width="17.28515625" customWidth="1"/>
    <col min="4" max="4" width="14.42578125" customWidth="1"/>
    <col min="5" max="5" width="10.42578125" customWidth="1"/>
    <col min="6" max="6" width="10.28515625" customWidth="1"/>
    <col min="7" max="8" width="9.7109375" customWidth="1"/>
    <col min="10" max="10" width="15.140625" customWidth="1"/>
    <col min="11" max="11" width="10.28515625" customWidth="1"/>
    <col min="13" max="13" width="14" customWidth="1"/>
    <col min="15" max="15" width="9.7109375" customWidth="1"/>
    <col min="17" max="17" width="14.5703125" customWidth="1"/>
    <col min="20" max="20" width="15.42578125" customWidth="1"/>
  </cols>
  <sheetData>
    <row r="1" spans="1:21" x14ac:dyDescent="0.25">
      <c r="A1" s="26"/>
      <c r="B1" s="1"/>
      <c r="C1" s="1"/>
      <c r="D1" s="1"/>
      <c r="E1" s="1"/>
      <c r="F1" s="1"/>
      <c r="G1" s="26"/>
      <c r="H1" s="1"/>
      <c r="I1" s="32" t="s">
        <v>51</v>
      </c>
      <c r="J1" s="2"/>
      <c r="K1" s="41"/>
      <c r="L1" s="148" t="s">
        <v>59</v>
      </c>
      <c r="M1" s="149"/>
      <c r="N1" s="148" t="s">
        <v>60</v>
      </c>
      <c r="O1" s="149"/>
      <c r="P1" s="26" t="s">
        <v>62</v>
      </c>
      <c r="Q1" s="2"/>
      <c r="R1" s="26" t="s">
        <v>63</v>
      </c>
      <c r="S1" s="2"/>
      <c r="T1" s="32" t="s">
        <v>70</v>
      </c>
      <c r="U1" s="40" t="s">
        <v>13</v>
      </c>
    </row>
    <row r="2" spans="1:21" x14ac:dyDescent="0.25">
      <c r="A2" s="27" t="s">
        <v>68</v>
      </c>
      <c r="B2" s="3"/>
      <c r="C2" s="3"/>
      <c r="D2" s="3"/>
      <c r="E2" s="3"/>
      <c r="F2" s="3"/>
      <c r="G2" s="27" t="s">
        <v>69</v>
      </c>
      <c r="H2" s="28"/>
      <c r="I2" s="33" t="s">
        <v>67</v>
      </c>
      <c r="J2" s="28" t="s">
        <v>53</v>
      </c>
      <c r="K2" s="38" t="s">
        <v>55</v>
      </c>
      <c r="L2" s="38" t="s">
        <v>56</v>
      </c>
      <c r="M2" s="57">
        <v>340</v>
      </c>
      <c r="N2" s="36" t="s">
        <v>56</v>
      </c>
      <c r="O2" s="57">
        <v>40</v>
      </c>
      <c r="P2" s="38" t="s">
        <v>103</v>
      </c>
      <c r="Q2" s="58">
        <v>433.85</v>
      </c>
      <c r="R2" s="27" t="s">
        <v>64</v>
      </c>
      <c r="S2" s="28"/>
      <c r="T2" s="33" t="s">
        <v>66</v>
      </c>
      <c r="U2" s="38" t="s">
        <v>12</v>
      </c>
    </row>
    <row r="3" spans="1:21" x14ac:dyDescent="0.25">
      <c r="A3" s="27" t="s">
        <v>50</v>
      </c>
      <c r="B3" s="54">
        <v>18</v>
      </c>
      <c r="C3" s="35" t="s">
        <v>49</v>
      </c>
      <c r="D3" s="3"/>
      <c r="E3" s="3"/>
      <c r="F3" s="3"/>
      <c r="G3" s="33" t="s">
        <v>47</v>
      </c>
      <c r="H3" s="28" t="s">
        <v>48</v>
      </c>
      <c r="I3" s="38" t="s">
        <v>52</v>
      </c>
      <c r="J3" s="37" t="s">
        <v>29</v>
      </c>
      <c r="K3" s="38" t="s">
        <v>29</v>
      </c>
      <c r="L3" s="33" t="s">
        <v>57</v>
      </c>
      <c r="M3" s="57">
        <v>329.4</v>
      </c>
      <c r="N3" s="36" t="s">
        <v>57</v>
      </c>
      <c r="O3" s="57">
        <v>45</v>
      </c>
      <c r="P3" s="38" t="s">
        <v>104</v>
      </c>
      <c r="Q3" s="58">
        <v>172.4</v>
      </c>
      <c r="R3" s="27" t="s">
        <v>65</v>
      </c>
      <c r="S3" s="59">
        <v>11</v>
      </c>
      <c r="T3" s="33" t="s">
        <v>29</v>
      </c>
      <c r="U3" s="38" t="s">
        <v>71</v>
      </c>
    </row>
    <row r="4" spans="1:21" x14ac:dyDescent="0.25">
      <c r="A4" s="34" t="s">
        <v>42</v>
      </c>
      <c r="B4" s="34" t="s">
        <v>43</v>
      </c>
      <c r="C4" s="34" t="s">
        <v>54</v>
      </c>
      <c r="D4" s="34" t="s">
        <v>44</v>
      </c>
      <c r="E4" s="34" t="s">
        <v>45</v>
      </c>
      <c r="F4" s="34" t="s">
        <v>46</v>
      </c>
      <c r="G4" s="55">
        <v>9.6</v>
      </c>
      <c r="H4" s="56">
        <v>4.0999999999999996</v>
      </c>
      <c r="I4" s="55">
        <v>40</v>
      </c>
      <c r="J4" s="56">
        <v>11.95</v>
      </c>
      <c r="K4" s="55">
        <v>20</v>
      </c>
      <c r="L4" s="34" t="s">
        <v>58</v>
      </c>
      <c r="M4" s="55">
        <v>318.60000000000002</v>
      </c>
      <c r="N4" s="39" t="s">
        <v>61</v>
      </c>
      <c r="O4" s="55">
        <v>50</v>
      </c>
      <c r="P4" s="42" t="s">
        <v>72</v>
      </c>
      <c r="Q4" s="43" t="s">
        <v>14</v>
      </c>
      <c r="R4" s="29" t="s">
        <v>40</v>
      </c>
      <c r="S4" s="31" t="s">
        <v>41</v>
      </c>
      <c r="T4" s="34"/>
      <c r="U4" s="55">
        <v>28.1</v>
      </c>
    </row>
    <row r="5" spans="1:21" x14ac:dyDescent="0.25">
      <c r="A5" s="32">
        <f>((Anfrage!G18*Anfrage!F18*2/1000000)+(Anfrage!E18*Anfrage!G18/1000000))/((100-B3)/100)</f>
        <v>0</v>
      </c>
      <c r="B5" s="32">
        <f>((Anfrage!E18*Anfrage!L18)/1000000)/((100-B3)/100)</f>
        <v>0</v>
      </c>
      <c r="C5" s="32">
        <f>(Anfrage!E18*90*2/1000000)/((100-B3)/100)</f>
        <v>0</v>
      </c>
      <c r="D5" s="32">
        <f t="shared" ref="D5:D22" si="0">SUM(A5:C5)</f>
        <v>0</v>
      </c>
      <c r="E5" s="32">
        <f>D5*2.7*Anfrage!H18*Anfrage!C18</f>
        <v>0</v>
      </c>
      <c r="F5" s="32">
        <f>D5*7.9*Anfrage!H18</f>
        <v>0</v>
      </c>
      <c r="G5" s="32">
        <f>(IF(Anfrage!J18=1,Tabelle2!B5,0)+IF(Anfrage!M18=1,Tabelle2!C5,0)+Tabelle2!A5)*Anfrage!H18*2.7*Tabelle2!G4</f>
        <v>0</v>
      </c>
      <c r="H5" s="32">
        <f>(IF(Anfrage!J18=1,Tabelle2!B5,0)+IF(Anfrage!M18=1,Tabelle2!C5,0)+Tabelle2!A5)*Anfrage!H18*7.9*Tabelle2!H4</f>
        <v>0</v>
      </c>
      <c r="I5" s="32">
        <f t="shared" ref="I5" si="1">B5*I4</f>
        <v>0</v>
      </c>
      <c r="J5" s="44">
        <f>J4</f>
        <v>11.95</v>
      </c>
      <c r="K5" s="44">
        <f>K4</f>
        <v>20</v>
      </c>
      <c r="M5" s="46">
        <f>IF(Anfrage!E18&gt;2900,Tabelle2!M4,IF(Anfrage!E18&lt;2001,Tabelle2!M2,Tabelle2!M3))</f>
        <v>340</v>
      </c>
      <c r="N5" s="26"/>
      <c r="O5" s="47">
        <f>IF(Anfrage!E18&gt;2900,Tabelle2!O4,IF(Anfrage!E18&lt;2001,Tabelle2!O2,Tabelle2!O3))</f>
        <v>40</v>
      </c>
      <c r="P5" s="44">
        <f>IF(G5&gt;0,G5*1/(Anfrage!H18*2.7*Tabelle2!G4)*Anfrage!C18,0)</f>
        <v>0</v>
      </c>
      <c r="Q5" s="44">
        <f>IF(Anfrage!C18&gt;0,IF(SUM(P5:P22)&gt;11,Q3*P5/Anfrage!C18,Q2*Tabelle2!P5/Anfrage!C18),0)/10</f>
        <v>0</v>
      </c>
      <c r="R5" s="44">
        <f>(A5*Anfrage!H18*2.7*Tabelle2!G4)*S3/100+(M5*S3/100)</f>
        <v>37.4</v>
      </c>
      <c r="S5" s="44">
        <f>(A5*Anfrage!H18*7.9*Tabelle2!H4)*S3/100+(M5*S3/100)</f>
        <v>37.4</v>
      </c>
      <c r="T5" s="44">
        <f>(IF(Anfrage!I18=1,Tabelle2!G5,IF(Anfrage!I18=2,Tabelle2!H5,0)))+(IF(Anfrage!J18=1,Tabelle2!I5,0))+(IF(Anfrage!K18=1,Tabelle2!J5,0))+(IF(Anfrage!J18&lt;1,Tabelle2!K5,0))+Tabelle2!M5+(IF(Anfrage!M18=1,Tabelle2!O5,0))+(IF(Anfrage!N18=1,Tabelle2!Q5,0))+IF(Anfrage!D18=1,IF(Anfrage!I18=1,Tabelle2!R5,IF(Anfrage!I18=2,Tabelle2!S5,0)),0)</f>
        <v>360</v>
      </c>
      <c r="U5" s="44">
        <f>IF(Anfrage!O18=1,2*Anfrage!F18*Tabelle2!U4/1000,0)</f>
        <v>0</v>
      </c>
    </row>
    <row r="6" spans="1:21" x14ac:dyDescent="0.25">
      <c r="A6" s="33">
        <f>((Anfrage!G19*Anfrage!F19*2/1000000)+(Anfrage!E19*Anfrage!G19/1000000))/((100-B3)/100)</f>
        <v>0</v>
      </c>
      <c r="B6" s="33">
        <f>((Anfrage!E19*Anfrage!L19)/1000000)/((100-B3)/100)</f>
        <v>0</v>
      </c>
      <c r="C6" s="33">
        <f>(Anfrage!E19*90*2/1000000)/((100-B3)/100)</f>
        <v>0</v>
      </c>
      <c r="D6" s="33">
        <f t="shared" si="0"/>
        <v>0</v>
      </c>
      <c r="E6" s="33">
        <f>D6*2.7*Anfrage!H19*Anfrage!C19</f>
        <v>0</v>
      </c>
      <c r="F6" s="33">
        <f>D6*7.9*Anfrage!H19</f>
        <v>0</v>
      </c>
      <c r="G6" s="33">
        <f>(IF(Anfrage!J19=1,Tabelle2!B6,0)+IF(Anfrage!M19=1,Tabelle2!C6,0)+Tabelle2!A6)*Anfrage!H19*2.7*Tabelle2!G4</f>
        <v>0</v>
      </c>
      <c r="H6" s="33">
        <f>(IF(Anfrage!J19=1,Tabelle2!B6,0)+IF(Anfrage!M19=1,Tabelle2!C6,0)+Tabelle2!A6)*Anfrage!H19*7.9*Tabelle2!H4</f>
        <v>0</v>
      </c>
      <c r="I6" s="33">
        <f>B6*I4</f>
        <v>0</v>
      </c>
      <c r="J6" s="45">
        <f>J4</f>
        <v>11.95</v>
      </c>
      <c r="K6" s="45">
        <f>K4</f>
        <v>20</v>
      </c>
      <c r="M6" s="25">
        <f>IF(Anfrage!E19&gt;2900,Tabelle2!M4,IF(Anfrage!E19&lt;2001,Tabelle2!M2,Tabelle2!M3))</f>
        <v>340</v>
      </c>
      <c r="N6" s="27"/>
      <c r="O6" s="48">
        <f>IF(Anfrage!E19&gt;2900,Tabelle2!O4,IF(Anfrage!E19&lt;2001,Tabelle2!O2,Tabelle2!O3))</f>
        <v>40</v>
      </c>
      <c r="P6" s="45">
        <f>IF(G6&gt;0,G6*1/(Anfrage!H19*2.7*Tabelle2!G4)*Anfrage!C19,0)</f>
        <v>0</v>
      </c>
      <c r="Q6" s="45">
        <f>IF(Anfrage!C19&gt;0,IF(SUM(P5:P22)&gt;11,Q3*P6/Anfrage!C19,Q2*Tabelle2!P6/Anfrage!C19),0)/10</f>
        <v>0</v>
      </c>
      <c r="R6" s="45">
        <f>(A6*Anfrage!H19*2.7*Tabelle2!G4)*S3/100+(M6*S3/100)</f>
        <v>37.4</v>
      </c>
      <c r="S6" s="45">
        <f>(A6*Anfrage!H19*7.9*Tabelle2!H4)*S3/100+(M6*S3/100)</f>
        <v>37.4</v>
      </c>
      <c r="T6" s="45">
        <f>(IF(Anfrage!I19=1,Tabelle2!G6,IF(Anfrage!I19=2,Tabelle2!H6,0)))+(IF(Anfrage!J19=1,Tabelle2!I6,0))+(IF(Anfrage!K19=1,Tabelle2!J6,0))+(IF(Anfrage!J19&lt;1,Tabelle2!K6,0))+Tabelle2!M6+(IF(Anfrage!M19=1,Tabelle2!O6,0))+(IF(Anfrage!N19=1,Tabelle2!Q6,0))+IF(Anfrage!D19=1,IF(Anfrage!I19=1,Tabelle2!R6,IF(Anfrage!I19=2,Tabelle2!S6,0)),0)</f>
        <v>360</v>
      </c>
      <c r="U6" s="45">
        <f>IF(Anfrage!O19=1,2*Anfrage!F19*Tabelle2!U4/1000,0)</f>
        <v>0</v>
      </c>
    </row>
    <row r="7" spans="1:21" x14ac:dyDescent="0.25">
      <c r="A7" s="33">
        <f>((Anfrage!G20*Anfrage!F20*2/1000000)+(Anfrage!E20*Anfrage!G20/1000000))/((100-B3)/100)</f>
        <v>0</v>
      </c>
      <c r="B7" s="33">
        <f>((Anfrage!E20*Anfrage!L20)/1000000)/((100-B3)/100)</f>
        <v>0</v>
      </c>
      <c r="C7" s="33">
        <f>(Anfrage!E20*90*2/1000000)/((100-B3)/100)</f>
        <v>0</v>
      </c>
      <c r="D7" s="33">
        <f t="shared" si="0"/>
        <v>0</v>
      </c>
      <c r="E7" s="33">
        <f>D7*2.7*Anfrage!H20*Anfrage!C20</f>
        <v>0</v>
      </c>
      <c r="F7" s="33">
        <f>D7*7.9*Anfrage!H20</f>
        <v>0</v>
      </c>
      <c r="G7" s="33">
        <f>(IF(Anfrage!J20=1,Tabelle2!B7,0)+IF(Anfrage!M20=1,Tabelle2!C7,0)+Tabelle2!A7)*Anfrage!H20*2.7*Tabelle2!G4</f>
        <v>0</v>
      </c>
      <c r="H7" s="33">
        <f>(IF(Anfrage!J20=1,Tabelle2!B7,0)+IF(Anfrage!M20=1,Tabelle2!C7,0)+Tabelle2!A7)*Anfrage!H20*7.9*Tabelle2!H4</f>
        <v>0</v>
      </c>
      <c r="I7" s="33">
        <f>B7*I4</f>
        <v>0</v>
      </c>
      <c r="J7" s="45">
        <f>J4</f>
        <v>11.95</v>
      </c>
      <c r="K7" s="45">
        <f>K4</f>
        <v>20</v>
      </c>
      <c r="M7" s="25">
        <f>IF(Anfrage!E20&gt;2900,Tabelle2!M4,IF(Anfrage!E20&lt;2001,Tabelle2!M2,Tabelle2!M3))</f>
        <v>340</v>
      </c>
      <c r="N7" s="27"/>
      <c r="O7" s="48">
        <f>IF(Anfrage!E20&gt;2900,Tabelle2!O4,IF(Anfrage!E20&lt;2001,Tabelle2!O2,Tabelle2!O3))</f>
        <v>40</v>
      </c>
      <c r="P7" s="45">
        <f>IF(G7&gt;0,G7*1/(Anfrage!H20*2.7*Tabelle2!G4)*Anfrage!C20,0)</f>
        <v>0</v>
      </c>
      <c r="Q7" s="45">
        <f>IF(Anfrage!C20&gt;0,IF(SUM(P5:P22)&gt;11,Q3*P7/Anfrage!C20,Q2*Tabelle2!P7/Anfrage!C20),0)/10</f>
        <v>0</v>
      </c>
      <c r="R7" s="45">
        <f>(A7*Anfrage!H20*2.7*Tabelle2!G4)*S3/100+(M7*S3/100)</f>
        <v>37.4</v>
      </c>
      <c r="S7" s="45">
        <f>(A7*Anfrage!H20*7.9*Tabelle2!H4)*S3/100+(M7*S3/100)</f>
        <v>37.4</v>
      </c>
      <c r="T7" s="45">
        <f>(IF(Anfrage!I20=1,Tabelle2!G7,IF(Anfrage!I20=2,Tabelle2!H7,0)))+(IF(Anfrage!J20=1,Tabelle2!I7,0))+(IF(Anfrage!K20=1,Tabelle2!J7,0))+(IF(Anfrage!J20&lt;1,Tabelle2!K7,0))+Tabelle2!M7+(IF(Anfrage!M20=1,Tabelle2!O7,0))+(IF(Anfrage!N20=1,Tabelle2!Q7,0))+IF(Anfrage!D20=1,IF(Anfrage!I20=1,Tabelle2!R7,IF(Anfrage!I20=2,Tabelle2!S7,0)),0)</f>
        <v>360</v>
      </c>
      <c r="U7" s="45">
        <f>IF(Anfrage!O20=1,2*Anfrage!F20*Tabelle2!U4/1000,0)</f>
        <v>0</v>
      </c>
    </row>
    <row r="8" spans="1:21" x14ac:dyDescent="0.25">
      <c r="A8" s="33">
        <f>((Anfrage!G21*Anfrage!F21*2/1000000)+(Anfrage!E21*Anfrage!G21/1000000))/((100-B3)/100)</f>
        <v>0</v>
      </c>
      <c r="B8" s="33">
        <f>((Anfrage!E21*Anfrage!L21)/1000000)/((100-B3)/100)</f>
        <v>0</v>
      </c>
      <c r="C8" s="33">
        <f>(Anfrage!E21*90*2/1000000)/((100-B3)/100)</f>
        <v>0</v>
      </c>
      <c r="D8" s="33">
        <f t="shared" si="0"/>
        <v>0</v>
      </c>
      <c r="E8" s="33">
        <f>D8*2.7*Anfrage!H21*Anfrage!C21</f>
        <v>0</v>
      </c>
      <c r="F8" s="33">
        <f>D8*7.9*Anfrage!H21</f>
        <v>0</v>
      </c>
      <c r="G8" s="33">
        <f>(IF(Anfrage!J21=1,Tabelle2!B8,0)+IF(Anfrage!M21=1,Tabelle2!C8,0)+Tabelle2!A8)*Anfrage!H21*2.7*Tabelle2!G4</f>
        <v>0</v>
      </c>
      <c r="H8" s="33">
        <f>(IF(Anfrage!J21=1,Tabelle2!B8,0)+IF(Anfrage!M21=1,Tabelle2!C8,0)+Tabelle2!A8)*Anfrage!H21*7.9*Tabelle2!H4</f>
        <v>0</v>
      </c>
      <c r="I8" s="33">
        <f>B8*I4</f>
        <v>0</v>
      </c>
      <c r="J8" s="45">
        <f>J4</f>
        <v>11.95</v>
      </c>
      <c r="K8" s="45">
        <f>K4</f>
        <v>20</v>
      </c>
      <c r="M8" s="25">
        <f>IF(Anfrage!E21&gt;2900,Tabelle2!M4,IF(Anfrage!E21&lt;2001,Tabelle2!M2,Tabelle2!M3))</f>
        <v>340</v>
      </c>
      <c r="N8" s="27"/>
      <c r="O8" s="48">
        <f>IF(Anfrage!E21&gt;2900,Tabelle2!O4,IF(Anfrage!E21&lt;2001,Tabelle2!O2,Tabelle2!O3))</f>
        <v>40</v>
      </c>
      <c r="P8" s="45">
        <f>IF(G8&gt;0,G8*1/(Anfrage!H21*2.7*Tabelle2!G4)*Anfrage!C21,0)</f>
        <v>0</v>
      </c>
      <c r="Q8" s="45">
        <f>IF(Anfrage!C21&gt;0,IF(SUM(P5:P22)&gt;11,Q3*P8/Anfrage!C21,Q2*Tabelle2!P8/Anfrage!C21),0)/10</f>
        <v>0</v>
      </c>
      <c r="R8" s="45">
        <f>(A8*Anfrage!H21*2.7*Tabelle2!G4)*S3/100+(M8*S3/100)</f>
        <v>37.4</v>
      </c>
      <c r="S8" s="45">
        <f>(A8*Anfrage!H21*7.9*Tabelle2!H4)*S3/100+(M8*S3/100)</f>
        <v>37.4</v>
      </c>
      <c r="T8" s="45">
        <f>(IF(Anfrage!I21=1,Tabelle2!G8,IF(Anfrage!I21=2,Tabelle2!H8,0)))+(IF(Anfrage!J21=1,Tabelle2!I8,0))+(IF(Anfrage!K21=1,Tabelle2!J8,0))+(IF(Anfrage!J21&lt;1,Tabelle2!K8,0))+Tabelle2!M8+(IF(Anfrage!M21=1,Tabelle2!O8,0))+(IF(Anfrage!N21=1,Tabelle2!Q8,0))+IF(Anfrage!D21=1,IF(Anfrage!I21=1,Tabelle2!R8,IF(Anfrage!I21=2,Tabelle2!S8,0)),0)</f>
        <v>360</v>
      </c>
      <c r="U8" s="45">
        <f>IF(Anfrage!O21=1,2*Anfrage!F21*Tabelle2!U4/1000,0)</f>
        <v>0</v>
      </c>
    </row>
    <row r="9" spans="1:21" x14ac:dyDescent="0.25">
      <c r="A9" s="33">
        <f>((Anfrage!G22*Anfrage!F22*2/1000000)+(Anfrage!E22*Anfrage!G22/1000000))/((100-B3)/100)</f>
        <v>0</v>
      </c>
      <c r="B9" s="33">
        <f>((Anfrage!E22*Anfrage!L22)/1000000)/((100-B3)/100)</f>
        <v>0</v>
      </c>
      <c r="C9" s="33">
        <f>(Anfrage!E22*90*2/1000000)/((100-B3)/100)</f>
        <v>0</v>
      </c>
      <c r="D9" s="33">
        <f t="shared" si="0"/>
        <v>0</v>
      </c>
      <c r="E9" s="33">
        <f>D9*2.7*Anfrage!H22*Anfrage!C22</f>
        <v>0</v>
      </c>
      <c r="F9" s="33">
        <f>D9*7.9*Anfrage!H22</f>
        <v>0</v>
      </c>
      <c r="G9" s="33">
        <f>(IF(Anfrage!J22=1,Tabelle2!B9,0)+IF(Anfrage!M22=1,Tabelle2!C9,0)+Tabelle2!A9)*Anfrage!H22*2.7*Tabelle2!G4</f>
        <v>0</v>
      </c>
      <c r="H9" s="33">
        <f>(IF(Anfrage!J22=1,Tabelle2!B9,0)+IF(Anfrage!M22=1,Tabelle2!C9,0)+Tabelle2!A9)*Anfrage!H22*7.9*Tabelle2!H4</f>
        <v>0</v>
      </c>
      <c r="I9" s="33">
        <f>B9*I4</f>
        <v>0</v>
      </c>
      <c r="J9" s="45">
        <f>J4</f>
        <v>11.95</v>
      </c>
      <c r="K9" s="45">
        <f>K4</f>
        <v>20</v>
      </c>
      <c r="M9" s="25">
        <f>IF(Anfrage!E22&gt;2900,Tabelle2!M4,IF(Anfrage!E22&lt;2001,Tabelle2!M2,Tabelle2!M3))</f>
        <v>340</v>
      </c>
      <c r="N9" s="27"/>
      <c r="O9" s="48">
        <f>IF(Anfrage!E22&gt;2900,Tabelle2!O4,IF(Anfrage!E22&lt;2001,Tabelle2!O2,Tabelle2!O3))</f>
        <v>40</v>
      </c>
      <c r="P9" s="45">
        <f>IF(G9&gt;0,G9*1/(Anfrage!H22*2.7*Tabelle2!G4)*Anfrage!C22,0)</f>
        <v>0</v>
      </c>
      <c r="Q9" s="45">
        <f>IF(Anfrage!C22&gt;0,IF(SUM(P5:P22)&gt;11,Q3*P9/Anfrage!C22,Q2*Tabelle2!P9/Anfrage!C22),0)/10</f>
        <v>0</v>
      </c>
      <c r="R9" s="45">
        <f>(A9*Anfrage!H22*2.7*Tabelle2!G4)*S3/100+(M9*S3/100)</f>
        <v>37.4</v>
      </c>
      <c r="S9" s="45">
        <f>(A9*Anfrage!H22*7.9*Tabelle2!H4)*S3/100+(M9*S3/100)</f>
        <v>37.4</v>
      </c>
      <c r="T9" s="45">
        <f>(IF(Anfrage!I22=1,Tabelle2!G9,IF(Anfrage!I22=2,Tabelle2!H9,0)))+(IF(Anfrage!J22=1,Tabelle2!I9,0))+(IF(Anfrage!K22=1,Tabelle2!J9,0))+(IF(Anfrage!J22&lt;1,Tabelle2!K9,0))+Tabelle2!M9+(IF(Anfrage!M22=1,Tabelle2!O9,0))+(IF(Anfrage!N22=1,Tabelle2!Q9,0))+IF(Anfrage!D22=1,IF(Anfrage!I22=1,Tabelle2!R9,IF(Anfrage!I22=2,Tabelle2!S9,0)),0)</f>
        <v>360</v>
      </c>
      <c r="U9" s="45">
        <f>IF(Anfrage!O22=1,2*Anfrage!F22*Tabelle2!U4/1000,0)</f>
        <v>0</v>
      </c>
    </row>
    <row r="10" spans="1:21" x14ac:dyDescent="0.25">
      <c r="A10" s="33">
        <f>((Anfrage!G23*Anfrage!F23*2/1000000)+(Anfrage!E23*Anfrage!G23/1000000))/((100-B3)/100)</f>
        <v>0</v>
      </c>
      <c r="B10" s="33">
        <f>((Anfrage!E23*Anfrage!L23)/1000000)/((100-B3)/100)</f>
        <v>0</v>
      </c>
      <c r="C10" s="33">
        <f>(Anfrage!E23*90*2/1000000)/((100-B3)/100)</f>
        <v>0</v>
      </c>
      <c r="D10" s="33">
        <f t="shared" si="0"/>
        <v>0</v>
      </c>
      <c r="E10" s="33">
        <f>D10*2.7*Anfrage!H23*Anfrage!C23</f>
        <v>0</v>
      </c>
      <c r="F10" s="33">
        <f>D10*7.9*Anfrage!H23</f>
        <v>0</v>
      </c>
      <c r="G10" s="33">
        <f>(IF(Anfrage!J23=1,Tabelle2!B10,0)+IF(Anfrage!M23=1,Tabelle2!C10,0)+Tabelle2!A10)*Anfrage!H23*2.7*Tabelle2!G4</f>
        <v>0</v>
      </c>
      <c r="H10" s="33">
        <f>(IF(Anfrage!J23=1,Tabelle2!B10,0)+IF(Anfrage!M23=1,Tabelle2!C10,0)+Tabelle2!A10)*Anfrage!H23*7.9*Tabelle2!H4</f>
        <v>0</v>
      </c>
      <c r="I10" s="33">
        <f>B10*I4</f>
        <v>0</v>
      </c>
      <c r="J10" s="45">
        <f>J4</f>
        <v>11.95</v>
      </c>
      <c r="K10" s="45">
        <f>K4</f>
        <v>20</v>
      </c>
      <c r="M10" s="25">
        <f>IF(Anfrage!E23&gt;2900,Tabelle2!M4,IF(Anfrage!E23&lt;2001,Tabelle2!M2,Tabelle2!M3))</f>
        <v>340</v>
      </c>
      <c r="N10" s="27"/>
      <c r="O10" s="48">
        <f>IF(Anfrage!E23&gt;2900,Tabelle2!O4,IF(Anfrage!E23&lt;2001,Tabelle2!O2,Tabelle2!O3))</f>
        <v>40</v>
      </c>
      <c r="P10" s="45">
        <f>IF(G10&gt;0,G10*1/(Anfrage!H23*2.7*Tabelle2!G4)*Anfrage!C23,0)</f>
        <v>0</v>
      </c>
      <c r="Q10" s="45">
        <f>IF(Anfrage!C23&gt;0,IF(SUM(P5:P22)&gt;11,Q3*P10/Anfrage!C23,Q2*Tabelle2!P10/Anfrage!C23),0)/10</f>
        <v>0</v>
      </c>
      <c r="R10" s="45">
        <f>(A10*Anfrage!H23*2.7*Tabelle2!G4)*S3/100+(M10*S3/100)</f>
        <v>37.4</v>
      </c>
      <c r="S10" s="45">
        <f>(A10*Anfrage!H23*7.9*Tabelle2!H4)*S3/100+(M10*S3/100)</f>
        <v>37.4</v>
      </c>
      <c r="T10" s="45">
        <f>(IF(Anfrage!I23=1,Tabelle2!G10,IF(Anfrage!I23=2,Tabelle2!H10,0)))+(IF(Anfrage!J23=1,Tabelle2!I10,0))+(IF(Anfrage!K23=1,Tabelle2!J10,0))+(IF(Anfrage!J23&lt;1,Tabelle2!K10,0))+Tabelle2!M10+(IF(Anfrage!M23=1,Tabelle2!O10,0))+(IF(Anfrage!N23=1,Tabelle2!Q10,0))+IF(Anfrage!D23=1,IF(Anfrage!I23=1,Tabelle2!R10,IF(Anfrage!I23=2,Tabelle2!S10,0)),0)</f>
        <v>360</v>
      </c>
      <c r="U10" s="45">
        <f>IF(Anfrage!O23=1,2*Anfrage!F23*Tabelle2!U4/1000,0)</f>
        <v>0</v>
      </c>
    </row>
    <row r="11" spans="1:21" x14ac:dyDescent="0.25">
      <c r="A11" s="33">
        <f>((Anfrage!G24*Anfrage!F24*2/1000000)+(Anfrage!E24*Anfrage!G24/1000000))/((100-B3)/100)</f>
        <v>0</v>
      </c>
      <c r="B11" s="33">
        <f>((Anfrage!E24*Anfrage!L24)/1000000)/((100-B3)/100)</f>
        <v>0</v>
      </c>
      <c r="C11" s="33">
        <f>(Anfrage!E24*90*2/1000000)/((100-B3)/100)</f>
        <v>0</v>
      </c>
      <c r="D11" s="33">
        <f t="shared" si="0"/>
        <v>0</v>
      </c>
      <c r="E11" s="33">
        <f>D11*2.7*Anfrage!H24*Anfrage!C24</f>
        <v>0</v>
      </c>
      <c r="F11" s="33">
        <f>D11*7.9*Anfrage!H24</f>
        <v>0</v>
      </c>
      <c r="G11" s="33">
        <f>(IF(Anfrage!J24=1,Tabelle2!B11,0)+IF(Anfrage!M24=1,Tabelle2!C11,0)+Tabelle2!A11)*Anfrage!H24*2.7*Tabelle2!G4</f>
        <v>0</v>
      </c>
      <c r="H11" s="33">
        <f>(IF(Anfrage!J24=1,Tabelle2!B11,0)+IF(Anfrage!M24=1,Tabelle2!C11,0)+Tabelle2!A11)*Anfrage!H24*7.9*Tabelle2!H4</f>
        <v>0</v>
      </c>
      <c r="I11" s="33">
        <f>B11*I4</f>
        <v>0</v>
      </c>
      <c r="J11" s="45">
        <f>J4</f>
        <v>11.95</v>
      </c>
      <c r="K11" s="45">
        <f>K4</f>
        <v>20</v>
      </c>
      <c r="M11" s="25">
        <f>IF(Anfrage!E24&gt;2900,Tabelle2!M4,IF(Anfrage!E24&lt;2001,Tabelle2!M2,Tabelle2!M3))</f>
        <v>340</v>
      </c>
      <c r="N11" s="27"/>
      <c r="O11" s="48">
        <f>IF(Anfrage!E24&gt;2900,Tabelle2!O4,IF(Anfrage!E24&lt;2001,Tabelle2!O2,Tabelle2!O3))</f>
        <v>40</v>
      </c>
      <c r="P11" s="45">
        <f>IF(G11&gt;0,G11*1/(Anfrage!H24*2.7*Tabelle2!G4)*Anfrage!C24,0)</f>
        <v>0</v>
      </c>
      <c r="Q11" s="45">
        <f>IF(Anfrage!C24&gt;0,IF(SUM(P5:P22)&gt;11,Q3*P11/Anfrage!C24,Q2*Tabelle2!P11/Anfrage!C24),0)/10</f>
        <v>0</v>
      </c>
      <c r="R11" s="45">
        <f>(A11*Anfrage!H24*2.7*Tabelle2!G4)*S3/100+(M11*S3/100)</f>
        <v>37.4</v>
      </c>
      <c r="S11" s="45">
        <f>(A11*Anfrage!H24*7.9*Tabelle2!H4)*S3/100+(M11*S3/100)</f>
        <v>37.4</v>
      </c>
      <c r="T11" s="45">
        <f>(IF(Anfrage!I24=1,Tabelle2!G11,IF(Anfrage!I24=2,Tabelle2!H11,0)))+(IF(Anfrage!J24=1,Tabelle2!I11,0))+(IF(Anfrage!K24=1,Tabelle2!J11,0))+(IF(Anfrage!J24&lt;1,Tabelle2!K11,0))+Tabelle2!M11+(IF(Anfrage!M24=1,Tabelle2!O11,0))+(IF(Anfrage!N24=1,Tabelle2!Q11,0))+IF(Anfrage!D24=1,IF(Anfrage!I24=1,Tabelle2!R11,IF(Anfrage!I24=2,Tabelle2!S11,0)),0)</f>
        <v>360</v>
      </c>
      <c r="U11" s="45">
        <f>IF(Anfrage!O24=1,2*Anfrage!F24*Tabelle2!U4/1000,0)</f>
        <v>0</v>
      </c>
    </row>
    <row r="12" spans="1:21" x14ac:dyDescent="0.25">
      <c r="A12" s="33">
        <f>((Anfrage!G25*Anfrage!F25*2/1000000)+(Anfrage!E25*Anfrage!G25/1000000))/((100-B3)/100)</f>
        <v>0</v>
      </c>
      <c r="B12" s="33">
        <f>((Anfrage!E25*Anfrage!L25)/1000000)/((100-B3)/100)</f>
        <v>0</v>
      </c>
      <c r="C12" s="33">
        <f>(Anfrage!E25*90*2/1000000)/((100-B3)/100)</f>
        <v>0</v>
      </c>
      <c r="D12" s="33">
        <f t="shared" si="0"/>
        <v>0</v>
      </c>
      <c r="E12" s="33">
        <f>D12*2.7*Anfrage!H25*Anfrage!C25</f>
        <v>0</v>
      </c>
      <c r="F12" s="33">
        <f>D12*7.9*Anfrage!H25</f>
        <v>0</v>
      </c>
      <c r="G12" s="33">
        <f>(IF(Anfrage!J25=1,Tabelle2!B12,0)+IF(Anfrage!M25=1,Tabelle2!C12,0)+Tabelle2!A12)*Anfrage!H25*2.7*Tabelle2!G4</f>
        <v>0</v>
      </c>
      <c r="H12" s="33">
        <f>(IF(Anfrage!J25=1,Tabelle2!B12,0)+IF(Anfrage!M25=1,Tabelle2!C12,0)+Tabelle2!A12)*Anfrage!H25*7.9*Tabelle2!H4</f>
        <v>0</v>
      </c>
      <c r="I12" s="33">
        <f>B12*I4</f>
        <v>0</v>
      </c>
      <c r="J12" s="45">
        <f>J4</f>
        <v>11.95</v>
      </c>
      <c r="K12" s="45">
        <f>K4</f>
        <v>20</v>
      </c>
      <c r="M12" s="25">
        <f>IF(Anfrage!E25&gt;2900,Tabelle2!M4,IF(Anfrage!E25&lt;2001,Tabelle2!M2,Tabelle2!M3))</f>
        <v>340</v>
      </c>
      <c r="N12" s="27"/>
      <c r="O12" s="48">
        <f>IF(Anfrage!E25&gt;2900,Tabelle2!O4,IF(Anfrage!E25&lt;2001,Tabelle2!O2,Tabelle2!O3))</f>
        <v>40</v>
      </c>
      <c r="P12" s="45">
        <f>IF(G12&gt;0,G12*1/(Anfrage!H25*2.7*Tabelle2!G4)*Anfrage!C25,0)</f>
        <v>0</v>
      </c>
      <c r="Q12" s="45">
        <f>IF(Anfrage!C25&gt;0,IF(SUM(P5:P22)&gt;11,Q3*P12/Anfrage!C25,Q2*Tabelle2!P12/Anfrage!C25),0)/10</f>
        <v>0</v>
      </c>
      <c r="R12" s="45">
        <f>(A12*Anfrage!H25*2.7*Tabelle2!G4)*S3/100+(M12*S3/100)</f>
        <v>37.4</v>
      </c>
      <c r="S12" s="45">
        <f>(A12*Anfrage!H25*7.9*Tabelle2!H4)*S3/100+(M12*S3/100)</f>
        <v>37.4</v>
      </c>
      <c r="T12" s="45">
        <f>(IF(Anfrage!I25=1,Tabelle2!G12,IF(Anfrage!I25=2,Tabelle2!H12,0)))+(IF(Anfrage!J25=1,Tabelle2!I12,0))+(IF(Anfrage!K25=1,Tabelle2!J12,0))+(IF(Anfrage!J25&lt;1,Tabelle2!K12,0))+Tabelle2!M12+(IF(Anfrage!M25=1,Tabelle2!O12,0))+(IF(Anfrage!N25=1,Tabelle2!Q12,0))+IF(Anfrage!D25=1,IF(Anfrage!I25=1,Tabelle2!R12,IF(Anfrage!I25=2,Tabelle2!S12,0)),0)</f>
        <v>360</v>
      </c>
      <c r="U12" s="45">
        <f>IF(Anfrage!O25=1,2*Anfrage!F25*Tabelle2!U4/1000,0)</f>
        <v>0</v>
      </c>
    </row>
    <row r="13" spans="1:21" x14ac:dyDescent="0.25">
      <c r="A13" s="33">
        <f>((Anfrage!G26*Anfrage!F26*2/1000000)+(Anfrage!E26*Anfrage!G26/1000000))/((100-B3)/100)</f>
        <v>0</v>
      </c>
      <c r="B13" s="33">
        <f>((Anfrage!E26*Anfrage!L26)/1000000)/((100-B3)/100)</f>
        <v>0</v>
      </c>
      <c r="C13" s="33">
        <f>(Anfrage!E26*90*2/1000000)/((100-B3)/100)</f>
        <v>0</v>
      </c>
      <c r="D13" s="33">
        <f t="shared" si="0"/>
        <v>0</v>
      </c>
      <c r="E13" s="33">
        <f>D13*2.7*Anfrage!H26*Anfrage!C26</f>
        <v>0</v>
      </c>
      <c r="F13" s="33">
        <f>D13*7.9*Anfrage!H26</f>
        <v>0</v>
      </c>
      <c r="G13" s="33">
        <f>(IF(Anfrage!J26=1,Tabelle2!B13,0)+IF(Anfrage!M26=1,Tabelle2!C13,0)+Tabelle2!A13)*Anfrage!H26*2.7*Tabelle2!G4</f>
        <v>0</v>
      </c>
      <c r="H13" s="33">
        <f>(IF(Anfrage!J26=1,Tabelle2!B13,0)+IF(Anfrage!M26=1,Tabelle2!C13,0)+Tabelle2!A13)*Anfrage!H26*7.9*Tabelle2!H4</f>
        <v>0</v>
      </c>
      <c r="I13" s="33">
        <f>B13*I4</f>
        <v>0</v>
      </c>
      <c r="J13" s="45">
        <f>J4</f>
        <v>11.95</v>
      </c>
      <c r="K13" s="45">
        <f>K4</f>
        <v>20</v>
      </c>
      <c r="M13" s="25">
        <f>IF(Anfrage!E26&gt;2900,Tabelle2!M4,IF(Anfrage!E26&lt;2001,Tabelle2!M2,Tabelle2!M3))</f>
        <v>340</v>
      </c>
      <c r="N13" s="27"/>
      <c r="O13" s="48">
        <f>IF(Anfrage!E26&gt;2900,Tabelle2!O4,IF(Anfrage!E26&lt;2001,Tabelle2!O2,Tabelle2!O3))</f>
        <v>40</v>
      </c>
      <c r="P13" s="45">
        <f>IF(G13&gt;0,G13*1/(Anfrage!H26*2.7*Tabelle2!G4)*Anfrage!C26,0)</f>
        <v>0</v>
      </c>
      <c r="Q13" s="45">
        <f>IF(Anfrage!C26&gt;0,IF(SUM(P5:P22)&gt;11,Q3*P13/Anfrage!C26,Q2*Tabelle2!P13/Anfrage!C26),0)/10</f>
        <v>0</v>
      </c>
      <c r="R13" s="45">
        <f>(A13*Anfrage!H26*2.7*Tabelle2!G4)*S3/100+(M13*S3/100)</f>
        <v>37.4</v>
      </c>
      <c r="S13" s="45">
        <f>(A13*Anfrage!H26*7.9*Tabelle2!H4)*S3/100+(M13*S3/100)</f>
        <v>37.4</v>
      </c>
      <c r="T13" s="45">
        <f>(IF(Anfrage!I26=1,Tabelle2!G13,IF(Anfrage!I26=2,Tabelle2!H13,0)))+(IF(Anfrage!J26=1,Tabelle2!I13,0))+(IF(Anfrage!K26=1,Tabelle2!J13,0))+(IF(Anfrage!J26&lt;1,Tabelle2!K13,0))+Tabelle2!M13+(IF(Anfrage!M26=1,Tabelle2!O13,0))+(IF(Anfrage!N26=1,Tabelle2!Q13,0))+IF(Anfrage!D26=1,IF(Anfrage!I26=1,Tabelle2!R13,IF(Anfrage!I26=2,Tabelle2!S13,0)),0)</f>
        <v>360</v>
      </c>
      <c r="U13" s="45">
        <f>IF(Anfrage!O26=1,2*Anfrage!F26*Tabelle2!U4/1000,0)</f>
        <v>0</v>
      </c>
    </row>
    <row r="14" spans="1:21" x14ac:dyDescent="0.25">
      <c r="A14" s="33">
        <f>((Anfrage!G27*Anfrage!F27*2/1000000)+(Anfrage!E27*Anfrage!G27/1000000))/((100-B3)/100)</f>
        <v>0</v>
      </c>
      <c r="B14" s="33">
        <f>((Anfrage!E27*Anfrage!L27)/1000000)/((100-B3)/100)</f>
        <v>0</v>
      </c>
      <c r="C14" s="33">
        <f>(Anfrage!E27*90*2/1000000)/((100-B3)/100)</f>
        <v>0</v>
      </c>
      <c r="D14" s="33">
        <f t="shared" si="0"/>
        <v>0</v>
      </c>
      <c r="E14" s="33">
        <f>D14*2.7*Anfrage!H27*Anfrage!C27</f>
        <v>0</v>
      </c>
      <c r="F14" s="33">
        <f>D14*7.9*Anfrage!H27</f>
        <v>0</v>
      </c>
      <c r="G14" s="33">
        <f>(IF(Anfrage!J27=1,Tabelle2!B14,0)+IF(Anfrage!M27=1,Tabelle2!C14,0)+Tabelle2!A14)*Anfrage!H27*2.7*Tabelle2!G4</f>
        <v>0</v>
      </c>
      <c r="H14" s="33">
        <f>(IF(Anfrage!J27=1,Tabelle2!B14,0)+IF(Anfrage!M27=1,Tabelle2!C14,0)+Tabelle2!A14)*Anfrage!H27*7.9*Tabelle2!H4</f>
        <v>0</v>
      </c>
      <c r="I14" s="33">
        <f>B14*I4</f>
        <v>0</v>
      </c>
      <c r="J14" s="45">
        <f>J4</f>
        <v>11.95</v>
      </c>
      <c r="K14" s="45">
        <f>K4</f>
        <v>20</v>
      </c>
      <c r="M14" s="25">
        <f>IF(Anfrage!E27&gt;2900,Tabelle2!M4,IF(Anfrage!E27&lt;2001,Tabelle2!M2,Tabelle2!M3))</f>
        <v>340</v>
      </c>
      <c r="N14" s="27"/>
      <c r="O14" s="48">
        <f>IF(Anfrage!E27&gt;2900,Tabelle2!O4,IF(Anfrage!E27&lt;2001,Tabelle2!O2,Tabelle2!O3))</f>
        <v>40</v>
      </c>
      <c r="P14" s="45">
        <f>IF(G14&gt;0,G14*1/(Anfrage!H27*2.7*Tabelle2!G4)*Anfrage!C27,0)</f>
        <v>0</v>
      </c>
      <c r="Q14" s="45">
        <f>IF(Anfrage!C27&gt;0,IF(SUM(P5:P22)&gt;11,Q3*P14/Anfrage!C27,Q2*Tabelle2!P14/Anfrage!C27),0)/10</f>
        <v>0</v>
      </c>
      <c r="R14" s="45">
        <f>(A14*Anfrage!H27*2.7*Tabelle2!G4)*S3/100+(M14*S3/100)</f>
        <v>37.4</v>
      </c>
      <c r="S14" s="45">
        <f>(A14*Anfrage!H27*7.9*Tabelle2!H4)*S3/100+(M14*S3/100)</f>
        <v>37.4</v>
      </c>
      <c r="T14" s="45">
        <f>(IF(Anfrage!I27=1,Tabelle2!G14,IF(Anfrage!I27=2,Tabelle2!H14,0)))+(IF(Anfrage!J27=1,Tabelle2!I14,0))+(IF(Anfrage!K27=1,Tabelle2!J14,0))+(IF(Anfrage!J27&lt;1,Tabelle2!K14,0))+Tabelle2!M14+(IF(Anfrage!M27=1,Tabelle2!O14,0))+(IF(Anfrage!N27=1,Tabelle2!Q14,0))+IF(Anfrage!D27=1,IF(Anfrage!I27=1,Tabelle2!R14,IF(Anfrage!I27=2,Tabelle2!S14,0)),0)</f>
        <v>360</v>
      </c>
      <c r="U14" s="45">
        <f>IF(Anfrage!O27=1,2*Anfrage!F27*Tabelle2!U4/1000,0)</f>
        <v>0</v>
      </c>
    </row>
    <row r="15" spans="1:21" x14ac:dyDescent="0.25">
      <c r="A15" s="33">
        <f>((Anfrage!G28*Anfrage!F28*2/1000000)+(Anfrage!E28*Anfrage!G28/1000000))/((100-B3)/100)</f>
        <v>0</v>
      </c>
      <c r="B15" s="33">
        <f>((Anfrage!E28*Anfrage!L28)/1000000)/((100-B3)/100)</f>
        <v>0</v>
      </c>
      <c r="C15" s="33">
        <f>(Anfrage!E28*90*2/1000000)/((100-B3)/100)</f>
        <v>0</v>
      </c>
      <c r="D15" s="33">
        <f t="shared" si="0"/>
        <v>0</v>
      </c>
      <c r="E15" s="33">
        <f>D15*2.7*Anfrage!H28*Anfrage!C28</f>
        <v>0</v>
      </c>
      <c r="F15" s="33">
        <f>D15*7.9*Anfrage!H28</f>
        <v>0</v>
      </c>
      <c r="G15" s="33">
        <f>(IF(Anfrage!J28=1,Tabelle2!B15,0)+IF(Anfrage!M28=1,Tabelle2!C15,0)+Tabelle2!A15)*Anfrage!H28*2.7*Tabelle2!G4</f>
        <v>0</v>
      </c>
      <c r="H15" s="33">
        <f>(IF(Anfrage!J28=1,Tabelle2!B15,0)+IF(Anfrage!M28=1,Tabelle2!C15,0)+Tabelle2!A15)*Anfrage!H28*7.9*Tabelle2!H4</f>
        <v>0</v>
      </c>
      <c r="I15" s="33">
        <f>B15*I4</f>
        <v>0</v>
      </c>
      <c r="J15" s="45">
        <f>J4</f>
        <v>11.95</v>
      </c>
      <c r="K15" s="45">
        <f>K4</f>
        <v>20</v>
      </c>
      <c r="M15" s="25">
        <f>IF(Anfrage!E28&gt;2900,Tabelle2!M4,IF(Anfrage!E28&lt;2001,Tabelle2!M2,Tabelle2!M3))</f>
        <v>340</v>
      </c>
      <c r="N15" s="27"/>
      <c r="O15" s="48">
        <f>IF(Anfrage!E28&gt;2900,Tabelle2!O4,IF(Anfrage!E28&lt;2001,Tabelle2!O2,Tabelle2!O3))</f>
        <v>40</v>
      </c>
      <c r="P15" s="45">
        <f>IF(G15&gt;0,G15*1/(Anfrage!H28*2.7*Tabelle2!G4)*Anfrage!C28,0)</f>
        <v>0</v>
      </c>
      <c r="Q15" s="45">
        <f>IF(Anfrage!C28&gt;0,IF(SUM(P5:P22)&gt;11,Q3*P15/Anfrage!C28,Q2*Tabelle2!P15/Anfrage!C28),0)/10</f>
        <v>0</v>
      </c>
      <c r="R15" s="45">
        <f>(A15*Anfrage!H28*2.7*Tabelle2!G4)*S3/100+(M15*S3/100)</f>
        <v>37.4</v>
      </c>
      <c r="S15" s="45">
        <f>(A15*Anfrage!H28*7.9*Tabelle2!H4)*S3/100+(M15*S3/100)</f>
        <v>37.4</v>
      </c>
      <c r="T15" s="45">
        <f>(IF(Anfrage!I28=1,Tabelle2!G15,IF(Anfrage!I28=2,Tabelle2!H15,0)))+(IF(Anfrage!J28=1,Tabelle2!I15,0))+(IF(Anfrage!K28=1,Tabelle2!J15,0))+(IF(Anfrage!J28&lt;1,Tabelle2!K15,0))+Tabelle2!M15+(IF(Anfrage!M28=1,Tabelle2!O15,0))+(IF(Anfrage!N28=1,Tabelle2!Q15,0))+IF(Anfrage!D28=1,IF(Anfrage!I28=1,Tabelle2!R15,IF(Anfrage!I28=2,Tabelle2!S15,0)),0)</f>
        <v>360</v>
      </c>
      <c r="U15" s="45">
        <f>IF(Anfrage!O28=1,2*Anfrage!F28*Tabelle2!U4/1000,0)</f>
        <v>0</v>
      </c>
    </row>
    <row r="16" spans="1:21" x14ac:dyDescent="0.25">
      <c r="A16" s="33">
        <f>((Anfrage!G29*Anfrage!F29*2/1000000)+(Anfrage!E29*Anfrage!G29/1000000))/((100-B3)/100)</f>
        <v>0</v>
      </c>
      <c r="B16" s="33">
        <f>((Anfrage!E29*Anfrage!L29)/1000000)/((100-B3)/100)</f>
        <v>0</v>
      </c>
      <c r="C16" s="33">
        <f>(Anfrage!E29*90*2/1000000)/((100-B3)/100)</f>
        <v>0</v>
      </c>
      <c r="D16" s="33">
        <f t="shared" si="0"/>
        <v>0</v>
      </c>
      <c r="E16" s="33">
        <f>D16*2.7*Anfrage!H29*Anfrage!C29</f>
        <v>0</v>
      </c>
      <c r="F16" s="33">
        <f>D16*7.9*Anfrage!H29</f>
        <v>0</v>
      </c>
      <c r="G16" s="33">
        <f>(IF(Anfrage!J29=1,Tabelle2!B16,0)+IF(Anfrage!M29=1,Tabelle2!C16,0)+Tabelle2!A16)*Anfrage!H29*2.7*Tabelle2!G4</f>
        <v>0</v>
      </c>
      <c r="H16" s="33">
        <f>(IF(Anfrage!J29=1,Tabelle2!B16,0)+IF(Anfrage!M29=1,Tabelle2!C16,0)+Tabelle2!A16)*Anfrage!H29*7.9*Tabelle2!H4</f>
        <v>0</v>
      </c>
      <c r="I16" s="33">
        <f>B16*I4</f>
        <v>0</v>
      </c>
      <c r="J16" s="45">
        <f>J4</f>
        <v>11.95</v>
      </c>
      <c r="K16" s="45">
        <f>K4</f>
        <v>20</v>
      </c>
      <c r="M16" s="25">
        <f>IF(Anfrage!E29&gt;2900,Tabelle2!M4,IF(Anfrage!E29&lt;2001,Tabelle2!M2,Tabelle2!M3))</f>
        <v>340</v>
      </c>
      <c r="N16" s="27"/>
      <c r="O16" s="48">
        <f>IF(Anfrage!E29&gt;2900,Tabelle2!O4,IF(Anfrage!E29&lt;2001,Tabelle2!O2,Tabelle2!O3))</f>
        <v>40</v>
      </c>
      <c r="P16" s="45">
        <f>IF(G16&gt;0,G16*1/(Anfrage!H29*2.7*Tabelle2!G4)*Anfrage!C29,0)</f>
        <v>0</v>
      </c>
      <c r="Q16" s="45">
        <f>IF(Anfrage!C29&gt;0,IF(SUM(P5:P22)&gt;11,Q3*P16/Anfrage!C29,Q2*Tabelle2!P16/Anfrage!C29),0)/10</f>
        <v>0</v>
      </c>
      <c r="R16" s="45">
        <f>(A16*Anfrage!H29*2.7*Tabelle2!G4)*S3/100+(M16*S3/100)</f>
        <v>37.4</v>
      </c>
      <c r="S16" s="45">
        <f>(A16*Anfrage!H29*7.9*Tabelle2!H4)*S3/100+(M16*S3/100)</f>
        <v>37.4</v>
      </c>
      <c r="T16" s="45">
        <f>(IF(Anfrage!I29=1,Tabelle2!G16,IF(Anfrage!I29=2,Tabelle2!H16,0)))+(IF(Anfrage!J29=1,Tabelle2!I16,0))+(IF(Anfrage!K29=1,Tabelle2!J16,0))+(IF(Anfrage!J29&lt;1,Tabelle2!K16,0))+Tabelle2!M16+(IF(Anfrage!M29=1,Tabelle2!O16,0))+(IF(Anfrage!N29=1,Tabelle2!Q16,0))+IF(Anfrage!D29=1,IF(Anfrage!I29=1,Tabelle2!R16,IF(Anfrage!I29=2,Tabelle2!S16,0)),0)</f>
        <v>360</v>
      </c>
      <c r="U16" s="45">
        <f>IF(Anfrage!O29=1,2*Anfrage!F29*Tabelle2!U4/1000,0)</f>
        <v>0</v>
      </c>
    </row>
    <row r="17" spans="1:22" x14ac:dyDescent="0.25">
      <c r="A17" s="33">
        <f>((Anfrage!G30*Anfrage!F30*2/1000000)+(Anfrage!E30*Anfrage!G30/1000000))/((100-B3)/100)</f>
        <v>0</v>
      </c>
      <c r="B17" s="33">
        <f>((Anfrage!E30*Anfrage!L30)/1000000)/((100-B3)/100)</f>
        <v>0</v>
      </c>
      <c r="C17" s="33">
        <f>(Anfrage!E30*90*2/1000000)/((100-B3)/100)</f>
        <v>0</v>
      </c>
      <c r="D17" s="33">
        <f t="shared" si="0"/>
        <v>0</v>
      </c>
      <c r="E17" s="33">
        <f>D17*2.7*Anfrage!H30*Anfrage!C30</f>
        <v>0</v>
      </c>
      <c r="F17" s="33">
        <f>D17*7.9*Anfrage!H30</f>
        <v>0</v>
      </c>
      <c r="G17" s="33">
        <f>(IF(Anfrage!J30=1,Tabelle2!B17,0)+IF(Anfrage!M30=1,Tabelle2!C17,0)+Tabelle2!A17)*Anfrage!H30*2.7*Tabelle2!G4</f>
        <v>0</v>
      </c>
      <c r="H17" s="33">
        <f>(IF(Anfrage!J30=1,Tabelle2!B17,0)+IF(Anfrage!M30=1,Tabelle2!C17,0)+Tabelle2!A17)*Anfrage!H30*7.9*Tabelle2!H4</f>
        <v>0</v>
      </c>
      <c r="I17" s="33">
        <f>B17*I4</f>
        <v>0</v>
      </c>
      <c r="J17" s="45">
        <f>J4</f>
        <v>11.95</v>
      </c>
      <c r="K17" s="45">
        <f>K4</f>
        <v>20</v>
      </c>
      <c r="M17" s="25">
        <f>IF(Anfrage!E30&gt;2900,Tabelle2!M4,IF(Anfrage!E30&lt;2001,Tabelle2!M2,Tabelle2!M3))</f>
        <v>340</v>
      </c>
      <c r="N17" s="27"/>
      <c r="O17" s="48">
        <f>IF(Anfrage!E30&gt;2900,Tabelle2!O4,IF(Anfrage!E30&lt;2001,Tabelle2!O2,Tabelle2!O3))</f>
        <v>40</v>
      </c>
      <c r="P17" s="45">
        <f>IF(G17&gt;0,G17*1/(Anfrage!H30*2.7*Tabelle2!G4)*Anfrage!C30,0)</f>
        <v>0</v>
      </c>
      <c r="Q17" s="45">
        <f>IF(Anfrage!C30&gt;0,IF(SUM(P5:P22)&gt;11,Q3*P17/Anfrage!C30,Q2*Tabelle2!P17/Anfrage!C30),0)/10</f>
        <v>0</v>
      </c>
      <c r="R17" s="45">
        <f>(A17*Anfrage!H30*2.7*Tabelle2!G4)*S3/100+(M17*S3/100)</f>
        <v>37.4</v>
      </c>
      <c r="S17" s="45">
        <f>(A17*Anfrage!H30*7.9*Tabelle2!H4)*S3/100+(M17*S3/100)</f>
        <v>37.4</v>
      </c>
      <c r="T17" s="45">
        <f>(IF(Anfrage!I30=1,Tabelle2!G17,IF(Anfrage!I30=2,Tabelle2!H17,0)))+(IF(Anfrage!J30=1,Tabelle2!I17,0))+(IF(Anfrage!K30=1,Tabelle2!J17,0))+(IF(Anfrage!J30&lt;1,Tabelle2!K17,0))+Tabelle2!M17+(IF(Anfrage!M30=1,Tabelle2!O17,0))+(IF(Anfrage!N30=1,Tabelle2!Q17,0))+IF(Anfrage!D30=1,IF(Anfrage!I30=1,Tabelle2!R17,IF(Anfrage!I30=2,Tabelle2!S17,0)),0)</f>
        <v>360</v>
      </c>
      <c r="U17" s="45">
        <f>IF(Anfrage!O30=1,2*Anfrage!F30*Tabelle2!U4/1000,0)</f>
        <v>0</v>
      </c>
    </row>
    <row r="18" spans="1:22" x14ac:dyDescent="0.25">
      <c r="A18" s="33">
        <f>((Anfrage!G31*Anfrage!F31*2/1000000)+(Anfrage!E31*Anfrage!G31/1000000))/((100-B3)/100)</f>
        <v>0</v>
      </c>
      <c r="B18" s="33">
        <f>((Anfrage!E31*Anfrage!L31)/1000000)/((100-B3)/100)</f>
        <v>0</v>
      </c>
      <c r="C18" s="33">
        <f>(Anfrage!E31*90*2/1000000)/((100-B3)/100)</f>
        <v>0</v>
      </c>
      <c r="D18" s="33">
        <f t="shared" si="0"/>
        <v>0</v>
      </c>
      <c r="E18" s="33">
        <f>D18*2.7*Anfrage!H31*Anfrage!C31</f>
        <v>0</v>
      </c>
      <c r="F18" s="33">
        <f>D18*7.9*Anfrage!H31</f>
        <v>0</v>
      </c>
      <c r="G18" s="33">
        <f>(IF(Anfrage!J31=1,Tabelle2!B18,0)+IF(Anfrage!M31=1,Tabelle2!C18,0)+Tabelle2!A18)*Anfrage!H31*2.7*Tabelle2!G4</f>
        <v>0</v>
      </c>
      <c r="H18" s="33">
        <f>(IF(Anfrage!J31=1,Tabelle2!B18,0)+IF(Anfrage!M31=1,Tabelle2!C18,0)+Tabelle2!A18)*Anfrage!H31*7.9*Tabelle2!H4</f>
        <v>0</v>
      </c>
      <c r="I18" s="33">
        <f>B18*I4</f>
        <v>0</v>
      </c>
      <c r="J18" s="45">
        <f>J4</f>
        <v>11.95</v>
      </c>
      <c r="K18" s="45">
        <f>K4</f>
        <v>20</v>
      </c>
      <c r="M18" s="25">
        <f>IF(Anfrage!E31&gt;2900,Tabelle2!M4,IF(Anfrage!E31&lt;2001,Tabelle2!M2,Tabelle2!M3))</f>
        <v>340</v>
      </c>
      <c r="N18" s="27"/>
      <c r="O18" s="48">
        <f>IF(Anfrage!E31&gt;2900,Tabelle2!O4,IF(Anfrage!E31&lt;2001,Tabelle2!O2,Tabelle2!O3))</f>
        <v>40</v>
      </c>
      <c r="P18" s="45">
        <f>IF(G18&gt;0,G18*1/(Anfrage!H31*2.7*Tabelle2!G4)*Anfrage!C31,0)</f>
        <v>0</v>
      </c>
      <c r="Q18" s="45">
        <f>IF(Anfrage!C31&gt;0,IF(SUM(P5:P22)&gt;11,Q3*P18/Anfrage!C31,Q2*Tabelle2!P18/Anfrage!C31),0)/10</f>
        <v>0</v>
      </c>
      <c r="R18" s="45">
        <f>(A18*Anfrage!H31*2.7*Tabelle2!G4)*S3/100+(M18*S3/100)</f>
        <v>37.4</v>
      </c>
      <c r="S18" s="45">
        <f>(A18*Anfrage!H31*7.9*Tabelle2!H4)*S3/100+(M18*S3/100)</f>
        <v>37.4</v>
      </c>
      <c r="T18" s="45">
        <f>(IF(Anfrage!I31=1,Tabelle2!G18,IF(Anfrage!I31=2,Tabelle2!H18,0)))+(IF(Anfrage!J31=1,Tabelle2!I18,0))+(IF(Anfrage!K31=1,Tabelle2!J18,0))+(IF(Anfrage!J31&lt;1,Tabelle2!K18,0))+Tabelle2!M18+(IF(Anfrage!M31=1,Tabelle2!O18,0))+(IF(Anfrage!N31=1,Tabelle2!Q18,0))+IF(Anfrage!D31=1,IF(Anfrage!I31=1,Tabelle2!R18,IF(Anfrage!I31=2,Tabelle2!S18,0)),0)</f>
        <v>360</v>
      </c>
      <c r="U18" s="45">
        <f>IF(Anfrage!O31=1,2*Anfrage!F31*Tabelle2!U4/1000,0)</f>
        <v>0</v>
      </c>
    </row>
    <row r="19" spans="1:22" x14ac:dyDescent="0.25">
      <c r="A19" s="33">
        <f>((Anfrage!G32*Anfrage!F32*2/1000000)+(Anfrage!E32*Anfrage!G32/1000000))/((100-B3)/100)</f>
        <v>0</v>
      </c>
      <c r="B19" s="33">
        <f>((Anfrage!E32*Anfrage!L32)/1000000)/((100-B3)/100)</f>
        <v>0</v>
      </c>
      <c r="C19" s="33">
        <f>(Anfrage!E32*90*2/1000000)/((100-B3)/100)</f>
        <v>0</v>
      </c>
      <c r="D19" s="33">
        <f t="shared" si="0"/>
        <v>0</v>
      </c>
      <c r="E19" s="33">
        <f>D19*2.7*Anfrage!H32*Anfrage!C32</f>
        <v>0</v>
      </c>
      <c r="F19" s="33">
        <f>D19*7.9*Anfrage!H32</f>
        <v>0</v>
      </c>
      <c r="G19" s="33">
        <f>(IF(Anfrage!J32=1,Tabelle2!B19,0)+IF(Anfrage!M32=1,Tabelle2!C19,0)+Tabelle2!A19)*Anfrage!H32*2.7*Tabelle2!G4</f>
        <v>0</v>
      </c>
      <c r="H19" s="33">
        <f>(IF(Anfrage!J32=1,Tabelle2!B19,0)+IF(Anfrage!M32=1,Tabelle2!C19,0)+Tabelle2!A19)*Anfrage!H32*7.9*Tabelle2!H4</f>
        <v>0</v>
      </c>
      <c r="I19" s="33">
        <f>B19*I4</f>
        <v>0</v>
      </c>
      <c r="J19" s="45">
        <f>J4</f>
        <v>11.95</v>
      </c>
      <c r="K19" s="45">
        <f>K4</f>
        <v>20</v>
      </c>
      <c r="M19" s="25">
        <f>IF(Anfrage!E32&gt;2900,Tabelle2!M4,IF(Anfrage!E32&lt;2001,Tabelle2!M2,Tabelle2!M3))</f>
        <v>340</v>
      </c>
      <c r="N19" s="27"/>
      <c r="O19" s="48">
        <f>IF(Anfrage!E32&gt;2900,Tabelle2!O4,IF(Anfrage!E32&lt;2001,Tabelle2!O2,Tabelle2!O3))</f>
        <v>40</v>
      </c>
      <c r="P19" s="45">
        <f>IF(G19&gt;0,G19*1/(Anfrage!H32*2.7*Tabelle2!G4)*Anfrage!C32,0)</f>
        <v>0</v>
      </c>
      <c r="Q19" s="45">
        <f>IF(Anfrage!C32&gt;0,IF(SUM(P5:P22)&gt;11,Q3*P19/Anfrage!C32,Q2*Tabelle2!P19/Anfrage!C32),0)/10</f>
        <v>0</v>
      </c>
      <c r="R19" s="45">
        <f>(A19*Anfrage!H32*2.7*Tabelle2!G4)*S3/100+(M19*S3/100)</f>
        <v>37.4</v>
      </c>
      <c r="S19" s="45">
        <f>(A19*Anfrage!H32*7.9*Tabelle2!H4)*S3/100+(M19*S3/100)</f>
        <v>37.4</v>
      </c>
      <c r="T19" s="45">
        <f>(IF(Anfrage!I32=1,Tabelle2!G19,IF(Anfrage!I32=2,Tabelle2!H19,0)))+(IF(Anfrage!J32=1,Tabelle2!I19,0))+(IF(Anfrage!K32=1,Tabelle2!J19,0))+(IF(Anfrage!J32&lt;1,Tabelle2!K19,0))+Tabelle2!M19+(IF(Anfrage!M32=1,Tabelle2!O19,0))+(IF(Anfrage!N32=1,Tabelle2!Q19,0))+IF(Anfrage!D32=1,IF(Anfrage!I32=1,Tabelle2!R19,IF(Anfrage!I32=2,Tabelle2!S19,0)),0)</f>
        <v>360</v>
      </c>
      <c r="U19" s="45">
        <f>IF(Anfrage!O32=1,2*Anfrage!F32*Tabelle2!U4/1000,0)</f>
        <v>0</v>
      </c>
    </row>
    <row r="20" spans="1:22" x14ac:dyDescent="0.25">
      <c r="A20" s="33">
        <f>((Anfrage!G33*Anfrage!F33*2/1000000)+(Anfrage!E33*Anfrage!G33/1000000))/((100-B3)/100)</f>
        <v>0</v>
      </c>
      <c r="B20" s="33">
        <f>((Anfrage!E33*Anfrage!L33)/1000000)/((100-B3)/100)</f>
        <v>0</v>
      </c>
      <c r="C20" s="33">
        <f>(Anfrage!E33*90*2/1000000)/((100-B3)/100)</f>
        <v>0</v>
      </c>
      <c r="D20" s="33">
        <f t="shared" si="0"/>
        <v>0</v>
      </c>
      <c r="E20" s="33">
        <f>D20*2.7*Anfrage!H33*Anfrage!C33</f>
        <v>0</v>
      </c>
      <c r="F20" s="33">
        <f>D20*7.9*Anfrage!H33</f>
        <v>0</v>
      </c>
      <c r="G20" s="33">
        <f>(IF(Anfrage!J33=1,Tabelle2!B20,0)+IF(Anfrage!M33=1,Tabelle2!C20,0)+Tabelle2!A20)*Anfrage!H33*2.7*Tabelle2!G4</f>
        <v>0</v>
      </c>
      <c r="H20" s="33">
        <f>(IF(Anfrage!J33=1,Tabelle2!B20,0)+IF(Anfrage!M33=1,Tabelle2!C20,0)+Tabelle2!A20)*Anfrage!H33*7.9*Tabelle2!H4</f>
        <v>0</v>
      </c>
      <c r="I20" s="33">
        <f>B20*I4</f>
        <v>0</v>
      </c>
      <c r="J20" s="45">
        <f>J4</f>
        <v>11.95</v>
      </c>
      <c r="K20" s="45">
        <f>K4</f>
        <v>20</v>
      </c>
      <c r="M20" s="25">
        <f>IF(Anfrage!E33&gt;2900,Tabelle2!M4,IF(Anfrage!E33&lt;2001,Tabelle2!M2,Tabelle2!M3))</f>
        <v>340</v>
      </c>
      <c r="N20" s="27"/>
      <c r="O20" s="48">
        <f>IF(Anfrage!E33&gt;2900,Tabelle2!O4,IF(Anfrage!E33&lt;2001,Tabelle2!O2,Tabelle2!O3))</f>
        <v>40</v>
      </c>
      <c r="P20" s="45">
        <f>IF(G20&gt;0,G20*1/(Anfrage!H33*2.7*Tabelle2!G4)*Anfrage!C33,0)</f>
        <v>0</v>
      </c>
      <c r="Q20" s="45">
        <f>IF(Anfrage!C33&gt;0,IF(SUM(P5:P22)&gt;11,Q3*P20/Anfrage!C33,Q2*Tabelle2!P20/Anfrage!C33),0)/10</f>
        <v>0</v>
      </c>
      <c r="R20" s="45">
        <f>(A20*Anfrage!H33*2.7*Tabelle2!G4)*S3/100+(M20*S3/100)</f>
        <v>37.4</v>
      </c>
      <c r="S20" s="45">
        <f>(A20*Anfrage!H33*7.9*Tabelle2!H4)*S3/100+(M20*S3/100)</f>
        <v>37.4</v>
      </c>
      <c r="T20" s="45">
        <f>(IF(Anfrage!I33=1,Tabelle2!G20,IF(Anfrage!I33=2,Tabelle2!H20,0)))+(IF(Anfrage!J33=1,Tabelle2!I20,0))+(IF(Anfrage!K33=1,Tabelle2!J20,0))+(IF(Anfrage!J33&lt;1,Tabelle2!K20,0))+Tabelle2!M20+(IF(Anfrage!M33=1,Tabelle2!O20,0))+(IF(Anfrage!N33=1,Tabelle2!Q20,0))+IF(Anfrage!D33=1,IF(Anfrage!I33=1,Tabelle2!R20,IF(Anfrage!I33=2,Tabelle2!S20,0)),0)</f>
        <v>360</v>
      </c>
      <c r="U20" s="45">
        <f>IF(Anfrage!O33=1,2*Anfrage!F33*Tabelle2!U4/1000,0)</f>
        <v>0</v>
      </c>
    </row>
    <row r="21" spans="1:22" x14ac:dyDescent="0.25">
      <c r="A21" s="33">
        <f>((Anfrage!G34*Anfrage!F34*2/1000000)+(Anfrage!E34*Anfrage!G34/1000000))/((100-B3)/100)</f>
        <v>0</v>
      </c>
      <c r="B21" s="33">
        <f>((Anfrage!E34*Anfrage!L34)/1000000)/((100-B3)/100)</f>
        <v>0</v>
      </c>
      <c r="C21" s="33">
        <f>(Anfrage!E34*90*2/1000000)/((100-B3)/100)</f>
        <v>0</v>
      </c>
      <c r="D21" s="33">
        <f t="shared" si="0"/>
        <v>0</v>
      </c>
      <c r="E21" s="33">
        <f>D21*2.7*Anfrage!H34*Anfrage!C34</f>
        <v>0</v>
      </c>
      <c r="F21" s="33">
        <f>D21*7.9*Anfrage!H34</f>
        <v>0</v>
      </c>
      <c r="G21" s="33">
        <f>(IF(Anfrage!J34=1,Tabelle2!B21,0)+IF(Anfrage!M34=1,Tabelle2!C21,0)+Tabelle2!A21)*Anfrage!H34*2.7*Tabelle2!G4</f>
        <v>0</v>
      </c>
      <c r="H21" s="33">
        <f>(IF(Anfrage!J34=1,Tabelle2!B21,0)+IF(Anfrage!M34=1,Tabelle2!C21,0)+Tabelle2!A21)*Anfrage!H34*7.9*Tabelle2!H4</f>
        <v>0</v>
      </c>
      <c r="I21" s="33">
        <f>B21*I4</f>
        <v>0</v>
      </c>
      <c r="J21" s="45">
        <f>J4</f>
        <v>11.95</v>
      </c>
      <c r="K21" s="45">
        <f>K4</f>
        <v>20</v>
      </c>
      <c r="M21" s="25">
        <f>IF(Anfrage!E34&gt;2900,Tabelle2!M4,IF(Anfrage!E34&lt;2001,Tabelle2!M2,Tabelle2!M3))</f>
        <v>340</v>
      </c>
      <c r="N21" s="27"/>
      <c r="O21" s="48">
        <f>IF(Anfrage!E34&gt;2900,Tabelle2!O4,IF(Anfrage!E34&lt;2001,Tabelle2!O2,Tabelle2!O3))</f>
        <v>40</v>
      </c>
      <c r="P21" s="45">
        <f>IF(G21&gt;0,G21*1/(Anfrage!H34*2.7*Tabelle2!G4)*Anfrage!C34,0)</f>
        <v>0</v>
      </c>
      <c r="Q21" s="45">
        <f>IF(Anfrage!C34&gt;0,IF(SUM(P5:P22)&gt;11,Q3*P21/Anfrage!C34,Q2*Tabelle2!P21/Anfrage!C34),0)/10</f>
        <v>0</v>
      </c>
      <c r="R21" s="45">
        <f>(A21*Anfrage!H34*2.7*Tabelle2!G4)*S3/100+(M21*S3/100)</f>
        <v>37.4</v>
      </c>
      <c r="S21" s="45">
        <f>(A21*Anfrage!H34*7.9*Tabelle2!H4)*S3/100+(M21*S3/100)</f>
        <v>37.4</v>
      </c>
      <c r="T21" s="45">
        <f>(IF(Anfrage!I34=1,Tabelle2!G21,IF(Anfrage!I34=2,Tabelle2!H21,0)))+(IF(Anfrage!J34=1,Tabelle2!I21,0))+(IF(Anfrage!K34=1,Tabelle2!J21,0))+(IF(Anfrage!J34&lt;1,Tabelle2!K21,0))+Tabelle2!M21+(IF(Anfrage!M34=1,Tabelle2!O21,0))+(IF(Anfrage!N34=1,Tabelle2!Q21,0))+IF(Anfrage!D34=1,IF(Anfrage!I34=1,Tabelle2!R21,IF(Anfrage!I34=2,Tabelle2!S21,0)),0)</f>
        <v>360</v>
      </c>
      <c r="U21" s="45">
        <f>IF(Anfrage!O34=1,2*Anfrage!F34*Tabelle2!U4/1000,0)</f>
        <v>0</v>
      </c>
    </row>
    <row r="22" spans="1:22" ht="15.75" thickBot="1" x14ac:dyDescent="0.3">
      <c r="A22" s="34">
        <f>((Anfrage!G35*Anfrage!F35*2/1000000)+(Anfrage!E35*Anfrage!G35/1000000))/((100-B3)/100)</f>
        <v>0</v>
      </c>
      <c r="B22" s="34">
        <f>((Anfrage!E35*Anfrage!L35)/1000000)/((100-B3)/100)</f>
        <v>0</v>
      </c>
      <c r="C22" s="34">
        <f>(Anfrage!E35*90*2/1000000)/((100-B3)/100)</f>
        <v>0</v>
      </c>
      <c r="D22" s="34">
        <f t="shared" si="0"/>
        <v>0</v>
      </c>
      <c r="E22" s="33">
        <f>D22*2.7*Anfrage!H35*Anfrage!C35</f>
        <v>0</v>
      </c>
      <c r="F22" s="33">
        <f>D22*7.9*Anfrage!H35</f>
        <v>0</v>
      </c>
      <c r="G22" s="34">
        <f>(IF(Anfrage!J35=1,Tabelle2!B22,0)+IF(Anfrage!M35=1,Tabelle2!C22,0)+Tabelle2!A22)*Anfrage!H35*2.7*Tabelle2!G4</f>
        <v>0</v>
      </c>
      <c r="H22" s="34">
        <f>(IF(Anfrage!J35=1,Tabelle2!B22,0)+IF(Anfrage!M35=1,Tabelle2!C22,0)+Tabelle2!A22)*Anfrage!H35*7.9*Tabelle2!H4</f>
        <v>0</v>
      </c>
      <c r="I22" s="34">
        <f>B22*I4</f>
        <v>0</v>
      </c>
      <c r="J22" s="49">
        <f>J4</f>
        <v>11.95</v>
      </c>
      <c r="K22" s="49">
        <f>K4</f>
        <v>20</v>
      </c>
      <c r="L22" s="30"/>
      <c r="M22" s="50">
        <f>IF(Anfrage!E35&gt;2900,Tabelle2!M4,IF(Anfrage!E35&lt;2001,Tabelle2!M2,Tabelle2!M3))</f>
        <v>340</v>
      </c>
      <c r="N22" s="29"/>
      <c r="O22" s="51">
        <f>IF(Anfrage!E35&gt;2900,Tabelle2!O4,IF(Anfrage!E35&lt;2001,Tabelle2!O2,Tabelle2!O3))</f>
        <v>40</v>
      </c>
      <c r="P22" s="49">
        <f>IF(G22&gt;0,G22*1/(Anfrage!H35*2.7*Tabelle2!G4)*Anfrage!C35,0)</f>
        <v>0</v>
      </c>
      <c r="Q22" s="49">
        <f>IF(Anfrage!C35&gt;0,IF(SUM(P5:P22)&gt;11,Q3*P22/Anfrage!C35,Q2*Tabelle2!P22/Anfrage!C35),0)/10</f>
        <v>0</v>
      </c>
      <c r="R22" s="49">
        <f>(A22*Anfrage!H35*2.7*Tabelle2!G4)*S3/100+(M22*S3/100)</f>
        <v>37.4</v>
      </c>
      <c r="S22" s="49">
        <f>(A22*Anfrage!H35*7.9*Tabelle2!H4)*S3/100+(M22*S3/100)</f>
        <v>37.4</v>
      </c>
      <c r="T22" s="49">
        <f>(IF(Anfrage!I35=1,Tabelle2!G22,IF(Anfrage!I35=2,Tabelle2!H22,0)))+(IF(Anfrage!J35=1,Tabelle2!I22,0))+(IF(Anfrage!K35=1,Tabelle2!J22,0))+(IF(Anfrage!J35&lt;1,Tabelle2!K22,0))+Tabelle2!M22+(IF(Anfrage!M35=1,Tabelle2!O22,0))+(IF(Anfrage!N35=1,Tabelle2!Q22,0))+IF(Anfrage!D35=1,IF(Anfrage!I35=1,Tabelle2!R22,IF(Anfrage!I35=2,Tabelle2!S22,0)),0)</f>
        <v>360</v>
      </c>
      <c r="U22" s="49">
        <f>IF(Anfrage!O35=1,2*Anfrage!F35*Tabelle2!U4/1000,0)</f>
        <v>0</v>
      </c>
    </row>
    <row r="23" spans="1:22" ht="15.75" thickBot="1" x14ac:dyDescent="0.3">
      <c r="D23" s="38"/>
      <c r="E23" s="92">
        <f>SUM(E5:E22)</f>
        <v>0</v>
      </c>
      <c r="F23" s="93" t="s">
        <v>100</v>
      </c>
      <c r="P23" s="25"/>
      <c r="Q23" s="25"/>
    </row>
    <row r="24" spans="1:22" x14ac:dyDescent="0.25">
      <c r="A24" s="69" t="s">
        <v>78</v>
      </c>
      <c r="C24" s="69" t="s">
        <v>81</v>
      </c>
      <c r="D24" s="69" t="s">
        <v>82</v>
      </c>
      <c r="E24" s="76" t="s">
        <v>44</v>
      </c>
      <c r="G24" s="69" t="s">
        <v>84</v>
      </c>
      <c r="I24" s="69" t="s">
        <v>94</v>
      </c>
      <c r="J24" s="76" t="s">
        <v>87</v>
      </c>
      <c r="L24" s="69" t="s">
        <v>89</v>
      </c>
      <c r="P24" s="84" t="s">
        <v>92</v>
      </c>
      <c r="Q24" s="85"/>
      <c r="T24" s="84" t="s">
        <v>86</v>
      </c>
      <c r="U24" s="85"/>
    </row>
    <row r="25" spans="1:22" x14ac:dyDescent="0.25">
      <c r="A25" t="s">
        <v>79</v>
      </c>
      <c r="B25">
        <v>5</v>
      </c>
      <c r="C25" s="70">
        <f>SUM(Q5*Anfrage!C18)</f>
        <v>0</v>
      </c>
      <c r="D25" s="71">
        <f>SUM(C25/100*55)</f>
        <v>0</v>
      </c>
      <c r="E25" s="75">
        <f>SUM(D5*Anfrage!C18)</f>
        <v>0</v>
      </c>
      <c r="G25">
        <f>SUM(Anfrage!F18*Anfrage!C18*2+Anfrage!G18)/1000</f>
        <v>0</v>
      </c>
      <c r="I25" s="79">
        <v>5.9</v>
      </c>
      <c r="J25" s="80">
        <f>SUM(G43*I25)</f>
        <v>0</v>
      </c>
      <c r="L25" t="s">
        <v>79</v>
      </c>
      <c r="M25">
        <v>1</v>
      </c>
      <c r="N25">
        <f>SUM(Anfrage!L18*Anfrage!C18)/100</f>
        <v>0</v>
      </c>
      <c r="P25" s="7"/>
      <c r="Q25" s="86"/>
      <c r="T25" s="7"/>
      <c r="U25" s="86"/>
    </row>
    <row r="26" spans="1:22" ht="15.75" thickBot="1" x14ac:dyDescent="0.3">
      <c r="A26" t="s">
        <v>79</v>
      </c>
      <c r="B26">
        <v>6</v>
      </c>
      <c r="C26" s="70">
        <f>SUM(Q6*Anfrage!C19)</f>
        <v>0</v>
      </c>
      <c r="D26" s="71">
        <f t="shared" ref="D26:D42" si="2">SUM(C26/100*55)</f>
        <v>0</v>
      </c>
      <c r="E26" s="75">
        <f>SUM(D6*Anfrage!C19)</f>
        <v>0</v>
      </c>
      <c r="G26">
        <f>SUM(Anfrage!F19*Anfrage!C19*2+Anfrage!G19)/1000</f>
        <v>0</v>
      </c>
      <c r="L26" t="s">
        <v>79</v>
      </c>
      <c r="M26">
        <v>2</v>
      </c>
      <c r="N26">
        <f>SUM(Anfrage!L19*Anfrage!C19)/100</f>
        <v>0</v>
      </c>
      <c r="P26" s="5"/>
      <c r="Q26" s="87">
        <f>SUM(J34/100*110)</f>
        <v>0</v>
      </c>
      <c r="T26" s="88">
        <f>SUM(J25+J28+J31)</f>
        <v>0</v>
      </c>
      <c r="U26" s="67"/>
    </row>
    <row r="27" spans="1:22" x14ac:dyDescent="0.25">
      <c r="A27" t="s">
        <v>79</v>
      </c>
      <c r="B27">
        <v>7</v>
      </c>
      <c r="C27" s="70">
        <f>SUM(Q7*Anfrage!C20)</f>
        <v>0</v>
      </c>
      <c r="D27" s="71">
        <f t="shared" si="2"/>
        <v>0</v>
      </c>
      <c r="E27" s="75">
        <f>SUM(D7*Anfrage!C20)</f>
        <v>0</v>
      </c>
      <c r="G27">
        <f>SUM(Anfrage!F20*Anfrage!C20*2+Anfrage!G20)/1000</f>
        <v>0</v>
      </c>
      <c r="I27" s="69" t="s">
        <v>95</v>
      </c>
      <c r="L27" t="s">
        <v>79</v>
      </c>
      <c r="M27">
        <v>3</v>
      </c>
      <c r="N27">
        <f>SUM(Anfrage!L20*Anfrage!C20)/100</f>
        <v>0</v>
      </c>
    </row>
    <row r="28" spans="1:22" ht="15.75" thickBot="1" x14ac:dyDescent="0.3">
      <c r="A28" t="s">
        <v>79</v>
      </c>
      <c r="B28">
        <v>8</v>
      </c>
      <c r="C28" s="70">
        <f>SUM(Q8*Anfrage!C21)</f>
        <v>0</v>
      </c>
      <c r="D28" s="71">
        <f t="shared" si="2"/>
        <v>0</v>
      </c>
      <c r="E28" s="75">
        <f>SUM(D8*Anfrage!C21)</f>
        <v>0</v>
      </c>
      <c r="G28">
        <f>SUM(Anfrage!F21*Anfrage!C21*2+Anfrage!G21)/1000</f>
        <v>0</v>
      </c>
      <c r="I28" s="79">
        <v>27.95</v>
      </c>
      <c r="J28" s="80">
        <f>SUM(E43*I28)</f>
        <v>0</v>
      </c>
      <c r="L28" t="s">
        <v>79</v>
      </c>
      <c r="M28">
        <v>4</v>
      </c>
      <c r="N28">
        <f>SUM(Anfrage!L21*Anfrage!C21)/100</f>
        <v>0</v>
      </c>
    </row>
    <row r="29" spans="1:22" x14ac:dyDescent="0.25">
      <c r="A29" t="s">
        <v>79</v>
      </c>
      <c r="B29">
        <v>9</v>
      </c>
      <c r="C29" s="70">
        <f>SUM(Q9*Anfrage!C22)</f>
        <v>0</v>
      </c>
      <c r="D29" s="71">
        <f t="shared" si="2"/>
        <v>0</v>
      </c>
      <c r="E29" s="75">
        <f>SUM(D9*Anfrage!C22)</f>
        <v>0</v>
      </c>
      <c r="G29">
        <f>SUM(Anfrage!F22*Anfrage!C22*2+Anfrage!G22)/1000</f>
        <v>0</v>
      </c>
      <c r="L29" t="s">
        <v>79</v>
      </c>
      <c r="M29">
        <v>5</v>
      </c>
      <c r="N29">
        <f>SUM(Anfrage!L22*Anfrage!C22)/100</f>
        <v>0</v>
      </c>
      <c r="P29" s="84" t="s">
        <v>93</v>
      </c>
      <c r="Q29" s="85"/>
      <c r="T29" s="84" t="s">
        <v>97</v>
      </c>
      <c r="U29" s="21"/>
      <c r="V29" s="85"/>
    </row>
    <row r="30" spans="1:22" ht="15.75" thickBot="1" x14ac:dyDescent="0.3">
      <c r="A30" t="s">
        <v>79</v>
      </c>
      <c r="B30">
        <v>10</v>
      </c>
      <c r="C30" s="70">
        <f>SUM(Q10*Anfrage!C23)</f>
        <v>0</v>
      </c>
      <c r="D30" s="71">
        <f t="shared" si="2"/>
        <v>0</v>
      </c>
      <c r="E30" s="75">
        <f>SUM(D10*Anfrage!C23)</f>
        <v>0</v>
      </c>
      <c r="G30">
        <f>SUM(Anfrage!F23*Anfrage!C23*2+Anfrage!G23)/1000</f>
        <v>0</v>
      </c>
      <c r="I30" s="69" t="s">
        <v>88</v>
      </c>
      <c r="L30" t="s">
        <v>79</v>
      </c>
      <c r="M30">
        <v>6</v>
      </c>
      <c r="N30">
        <f>SUM(Anfrage!L23*Anfrage!C23)/100</f>
        <v>0</v>
      </c>
      <c r="P30" s="5"/>
      <c r="Q30" s="89">
        <f>SUM(G43*5.8)</f>
        <v>0</v>
      </c>
      <c r="T30" s="88" t="e">
        <f>SUM(Anfrage!Q38-Tabelle2!Q26-Tabelle2!T26-Tabelle2!Q30)</f>
        <v>#VALUE!</v>
      </c>
      <c r="U30" s="90" t="s">
        <v>98</v>
      </c>
      <c r="V30" s="91" t="e">
        <f>SUM(T30/110)</f>
        <v>#VALUE!</v>
      </c>
    </row>
    <row r="31" spans="1:22" x14ac:dyDescent="0.25">
      <c r="A31" t="s">
        <v>79</v>
      </c>
      <c r="B31">
        <v>11</v>
      </c>
      <c r="C31" s="70">
        <f>SUM(Q11*Anfrage!C24)</f>
        <v>0</v>
      </c>
      <c r="D31" s="71">
        <f t="shared" si="2"/>
        <v>0</v>
      </c>
      <c r="E31" s="75">
        <f>SUM(D11*Anfrage!C24)</f>
        <v>0</v>
      </c>
      <c r="G31">
        <f>SUM(Anfrage!F24*Anfrage!C24*2+Anfrage!G24)/1000</f>
        <v>0</v>
      </c>
      <c r="I31" s="79">
        <v>4.8499999999999996</v>
      </c>
      <c r="J31" s="80">
        <f>SUM(N43*I31)</f>
        <v>0</v>
      </c>
      <c r="L31" t="s">
        <v>79</v>
      </c>
      <c r="M31">
        <v>7</v>
      </c>
      <c r="N31">
        <f>SUM(Anfrage!L24*Anfrage!C24)/100</f>
        <v>0</v>
      </c>
    </row>
    <row r="32" spans="1:22" x14ac:dyDescent="0.25">
      <c r="A32" t="s">
        <v>79</v>
      </c>
      <c r="B32">
        <v>12</v>
      </c>
      <c r="C32" s="70">
        <f>SUM(Q12*Anfrage!C25)</f>
        <v>0</v>
      </c>
      <c r="D32" s="71">
        <f t="shared" si="2"/>
        <v>0</v>
      </c>
      <c r="E32" s="75">
        <f>SUM(D12*Anfrage!C25)</f>
        <v>0</v>
      </c>
      <c r="G32">
        <f>SUM(Anfrage!F25*Anfrage!C25*2+Anfrage!G25)/1000</f>
        <v>0</v>
      </c>
      <c r="L32" t="s">
        <v>79</v>
      </c>
      <c r="M32">
        <v>8</v>
      </c>
      <c r="N32">
        <f>SUM(Anfrage!L25*Anfrage!C25)/100</f>
        <v>0</v>
      </c>
    </row>
    <row r="33" spans="1:17" x14ac:dyDescent="0.25">
      <c r="A33" t="s">
        <v>79</v>
      </c>
      <c r="B33">
        <v>13</v>
      </c>
      <c r="C33" s="70">
        <f>SUM(Q13*Anfrage!C26)</f>
        <v>0</v>
      </c>
      <c r="D33" s="71">
        <f t="shared" si="2"/>
        <v>0</v>
      </c>
      <c r="E33" s="75">
        <f>SUM(D13*Anfrage!C26)</f>
        <v>0</v>
      </c>
      <c r="G33">
        <f>SUM(Anfrage!F26*Anfrage!C26*2+Anfrage!G26)/1000</f>
        <v>0</v>
      </c>
      <c r="I33" s="69" t="s">
        <v>91</v>
      </c>
      <c r="L33" t="s">
        <v>79</v>
      </c>
      <c r="M33">
        <v>9</v>
      </c>
      <c r="N33">
        <f>SUM(Anfrage!L26*Anfrage!C26)/100</f>
        <v>0</v>
      </c>
    </row>
    <row r="34" spans="1:17" x14ac:dyDescent="0.25">
      <c r="A34" t="s">
        <v>79</v>
      </c>
      <c r="B34">
        <v>14</v>
      </c>
      <c r="C34" s="70">
        <f>SUM(Q14*Anfrage!C27)</f>
        <v>0</v>
      </c>
      <c r="D34" s="71">
        <f t="shared" si="2"/>
        <v>0</v>
      </c>
      <c r="E34" s="75">
        <f>SUM(D14*Anfrage!C27)</f>
        <v>0</v>
      </c>
      <c r="G34">
        <f>SUM(Anfrage!F27*Anfrage!C27*2+Anfrage!G27)/1000</f>
        <v>0</v>
      </c>
      <c r="I34" s="81">
        <f>SUM(E23)</f>
        <v>0</v>
      </c>
      <c r="J34" s="79">
        <f>SUM(I34*G4)</f>
        <v>0</v>
      </c>
      <c r="L34" t="s">
        <v>79</v>
      </c>
      <c r="M34">
        <v>10</v>
      </c>
      <c r="N34">
        <f>SUM(Anfrage!L27*Anfrage!C27)/100</f>
        <v>0</v>
      </c>
      <c r="P34" s="69" t="s">
        <v>96</v>
      </c>
    </row>
    <row r="35" spans="1:17" ht="15.75" thickBot="1" x14ac:dyDescent="0.3">
      <c r="A35" t="s">
        <v>79</v>
      </c>
      <c r="B35">
        <v>15</v>
      </c>
      <c r="C35" s="70">
        <f>SUM(Q15*Anfrage!C28)</f>
        <v>0</v>
      </c>
      <c r="D35" s="71">
        <f t="shared" si="2"/>
        <v>0</v>
      </c>
      <c r="E35" s="75">
        <f>SUM(D15*Anfrage!C28)</f>
        <v>0</v>
      </c>
      <c r="G35">
        <f>SUM(Anfrage!F28*Anfrage!C28*2+Anfrage!G28)/1000</f>
        <v>0</v>
      </c>
      <c r="L35" t="s">
        <v>79</v>
      </c>
      <c r="M35">
        <v>11</v>
      </c>
      <c r="N35">
        <f>SUM(Anfrage!L28*Anfrage!C28)/100</f>
        <v>0</v>
      </c>
      <c r="Q35" s="82">
        <f>SUM(Q26+T26+Q30)</f>
        <v>0</v>
      </c>
    </row>
    <row r="36" spans="1:17" ht="15.75" thickTop="1" x14ac:dyDescent="0.25">
      <c r="A36" t="s">
        <v>79</v>
      </c>
      <c r="B36">
        <v>16</v>
      </c>
      <c r="C36" s="70">
        <f>SUM(Q16*Anfrage!C29)</f>
        <v>0</v>
      </c>
      <c r="D36" s="71">
        <f t="shared" si="2"/>
        <v>0</v>
      </c>
      <c r="E36" s="75">
        <f>SUM(D16*Anfrage!C29)</f>
        <v>0</v>
      </c>
      <c r="G36">
        <f>SUM(Anfrage!F29*Anfrage!C29*2+Anfrage!G29)/1000</f>
        <v>0</v>
      </c>
      <c r="L36" t="s">
        <v>79</v>
      </c>
      <c r="M36">
        <v>12</v>
      </c>
      <c r="N36">
        <f>SUM(Anfrage!L29*Anfrage!C29)/100</f>
        <v>0</v>
      </c>
    </row>
    <row r="37" spans="1:17" x14ac:dyDescent="0.25">
      <c r="A37" t="s">
        <v>79</v>
      </c>
      <c r="B37">
        <v>17</v>
      </c>
      <c r="C37" s="70">
        <f>SUM(Q17*Anfrage!C30)</f>
        <v>0</v>
      </c>
      <c r="D37" s="71">
        <f t="shared" si="2"/>
        <v>0</v>
      </c>
      <c r="E37" s="75">
        <f>SUM(D17*Anfrage!C30)</f>
        <v>0</v>
      </c>
      <c r="G37">
        <f>SUM(Anfrage!F30*Anfrage!C30*2+Anfrage!G30)/1000</f>
        <v>0</v>
      </c>
      <c r="L37" t="s">
        <v>79</v>
      </c>
      <c r="M37">
        <v>13</v>
      </c>
      <c r="N37">
        <f>SUM(Anfrage!L30*Anfrage!C30)/100</f>
        <v>0</v>
      </c>
    </row>
    <row r="38" spans="1:17" x14ac:dyDescent="0.25">
      <c r="A38" t="s">
        <v>79</v>
      </c>
      <c r="B38">
        <v>18</v>
      </c>
      <c r="C38" s="70">
        <f>SUM(Q18*Anfrage!C31)</f>
        <v>0</v>
      </c>
      <c r="D38" s="71">
        <f t="shared" si="2"/>
        <v>0</v>
      </c>
      <c r="E38" s="75">
        <f>SUM(D18*Anfrage!C31)</f>
        <v>0</v>
      </c>
      <c r="G38">
        <f>SUM(Anfrage!F31*Anfrage!C31*2+Anfrage!G31)/1000</f>
        <v>0</v>
      </c>
      <c r="L38" t="s">
        <v>79</v>
      </c>
      <c r="M38">
        <v>14</v>
      </c>
      <c r="N38">
        <f>SUM(Anfrage!L31*Anfrage!C31)/100</f>
        <v>0</v>
      </c>
      <c r="P38" s="69" t="s">
        <v>99</v>
      </c>
    </row>
    <row r="39" spans="1:17" ht="15.75" thickBot="1" x14ac:dyDescent="0.3">
      <c r="A39" t="s">
        <v>79</v>
      </c>
      <c r="B39">
        <v>19</v>
      </c>
      <c r="C39" s="70">
        <f>SUM(Q19*Anfrage!C32)</f>
        <v>0</v>
      </c>
      <c r="D39" s="71">
        <f t="shared" si="2"/>
        <v>0</v>
      </c>
      <c r="E39" s="75">
        <f>SUM(D19*Anfrage!C32)</f>
        <v>0</v>
      </c>
      <c r="G39">
        <f>SUM(Anfrage!F32*Anfrage!C32*2+Anfrage!G32)/1000</f>
        <v>0</v>
      </c>
      <c r="L39" t="s">
        <v>79</v>
      </c>
      <c r="M39">
        <v>15</v>
      </c>
      <c r="N39">
        <f>SUM(Anfrage!L32*Anfrage!C32)/100</f>
        <v>0</v>
      </c>
      <c r="Q39" s="83" t="e">
        <f>SUM(Q35+T30)</f>
        <v>#VALUE!</v>
      </c>
    </row>
    <row r="40" spans="1:17" ht="15.75" thickTop="1" x14ac:dyDescent="0.25">
      <c r="A40" t="s">
        <v>79</v>
      </c>
      <c r="B40">
        <v>20</v>
      </c>
      <c r="C40" s="70">
        <f>SUM(Q20*Anfrage!C33)</f>
        <v>0</v>
      </c>
      <c r="D40" s="71">
        <f t="shared" si="2"/>
        <v>0</v>
      </c>
      <c r="E40" s="75">
        <f>SUM(D20*Anfrage!C33)</f>
        <v>0</v>
      </c>
      <c r="G40">
        <f>SUM(Anfrage!F33*Anfrage!C33*2+Anfrage!G33)/1000</f>
        <v>0</v>
      </c>
      <c r="I40" s="69"/>
      <c r="L40" t="s">
        <v>79</v>
      </c>
      <c r="M40">
        <v>16</v>
      </c>
      <c r="N40">
        <f>SUM(Anfrage!L33*Anfrage!C33)/100</f>
        <v>0</v>
      </c>
    </row>
    <row r="41" spans="1:17" x14ac:dyDescent="0.25">
      <c r="A41" t="s">
        <v>79</v>
      </c>
      <c r="B41">
        <v>21</v>
      </c>
      <c r="C41" s="70">
        <f>SUM(Q21*Anfrage!C34)</f>
        <v>0</v>
      </c>
      <c r="D41" s="71">
        <f t="shared" si="2"/>
        <v>0</v>
      </c>
      <c r="E41" s="75">
        <f>SUM(D21*Anfrage!C34)</f>
        <v>0</v>
      </c>
      <c r="G41">
        <f>SUM(Anfrage!F34*Anfrage!C34*2+Anfrage!G34)/1000</f>
        <v>0</v>
      </c>
      <c r="I41" s="78"/>
      <c r="L41" t="s">
        <v>79</v>
      </c>
      <c r="M41">
        <v>17</v>
      </c>
      <c r="N41">
        <f>SUM(Anfrage!L34*Anfrage!C34)/100</f>
        <v>0</v>
      </c>
    </row>
    <row r="42" spans="1:17" x14ac:dyDescent="0.25">
      <c r="A42" t="s">
        <v>79</v>
      </c>
      <c r="B42">
        <v>22</v>
      </c>
      <c r="C42" s="70">
        <f>SUM(Q22*Anfrage!C35)</f>
        <v>0</v>
      </c>
      <c r="D42" s="71">
        <f t="shared" si="2"/>
        <v>0</v>
      </c>
      <c r="E42" s="75">
        <f>SUM(D22*Anfrage!C35)</f>
        <v>0</v>
      </c>
      <c r="G42">
        <f>SUM(Anfrage!F35*Anfrage!C35*2+Anfrage!G35)/1000</f>
        <v>0</v>
      </c>
      <c r="L42" t="s">
        <v>79</v>
      </c>
      <c r="M42">
        <v>18</v>
      </c>
      <c r="N42">
        <f>SUM(Anfrage!L35*Anfrage!C35)/100</f>
        <v>0</v>
      </c>
    </row>
    <row r="43" spans="1:17" x14ac:dyDescent="0.25">
      <c r="A43" s="69" t="s">
        <v>80</v>
      </c>
      <c r="C43" s="73">
        <f>SUM(C25:C42)</f>
        <v>0</v>
      </c>
      <c r="D43" s="72">
        <f>SUM(D25:D42)</f>
        <v>0</v>
      </c>
      <c r="E43" s="74">
        <f>SUM(E25:E42)</f>
        <v>0</v>
      </c>
      <c r="F43" s="69" t="s">
        <v>83</v>
      </c>
      <c r="G43" s="69">
        <f>SUM(G25:G42)</f>
        <v>0</v>
      </c>
      <c r="H43" s="69" t="s">
        <v>85</v>
      </c>
      <c r="I43" s="72"/>
      <c r="J43" s="69"/>
      <c r="K43" s="69"/>
      <c r="M43" s="76" t="s">
        <v>90</v>
      </c>
      <c r="N43">
        <f>SUM(N25:N42)/2</f>
        <v>0</v>
      </c>
    </row>
    <row r="46" spans="1:17" x14ac:dyDescent="0.25">
      <c r="A46" s="94"/>
      <c r="B46" s="94"/>
      <c r="C46" s="3"/>
    </row>
    <row r="47" spans="1:17" x14ac:dyDescent="0.25">
      <c r="A47" s="3"/>
      <c r="B47" s="3"/>
      <c r="C47" s="3"/>
    </row>
    <row r="48" spans="1:17" x14ac:dyDescent="0.25">
      <c r="A48" s="3"/>
      <c r="B48" s="3"/>
      <c r="C48" s="95"/>
    </row>
    <row r="49" spans="1:3" x14ac:dyDescent="0.25">
      <c r="A49" s="3"/>
      <c r="B49" s="3"/>
      <c r="C49" s="95"/>
    </row>
    <row r="50" spans="1:3" x14ac:dyDescent="0.25">
      <c r="A50" s="3"/>
      <c r="B50" s="3"/>
      <c r="C50" s="95"/>
    </row>
    <row r="51" spans="1:3" x14ac:dyDescent="0.25">
      <c r="A51" s="3"/>
      <c r="B51" s="3"/>
      <c r="C51" s="95"/>
    </row>
    <row r="52" spans="1:3" x14ac:dyDescent="0.25">
      <c r="A52" s="3"/>
      <c r="B52" s="3"/>
      <c r="C52" s="95"/>
    </row>
    <row r="53" spans="1:3" x14ac:dyDescent="0.25">
      <c r="A53" s="3"/>
      <c r="B53" s="3"/>
      <c r="C53" s="95"/>
    </row>
    <row r="54" spans="1:3" x14ac:dyDescent="0.25">
      <c r="A54" s="3"/>
      <c r="B54" s="3"/>
      <c r="C54" s="95"/>
    </row>
    <row r="55" spans="1:3" x14ac:dyDescent="0.25">
      <c r="A55" s="3"/>
      <c r="B55" s="3"/>
      <c r="C55" s="95"/>
    </row>
    <row r="56" spans="1:3" x14ac:dyDescent="0.25">
      <c r="A56" s="3"/>
      <c r="B56" s="3"/>
      <c r="C56" s="95"/>
    </row>
    <row r="57" spans="1:3" x14ac:dyDescent="0.25">
      <c r="A57" s="3"/>
      <c r="B57" s="3"/>
      <c r="C57" s="95"/>
    </row>
    <row r="58" spans="1:3" x14ac:dyDescent="0.25">
      <c r="A58" s="3"/>
      <c r="B58" s="3"/>
      <c r="C58" s="95"/>
    </row>
    <row r="59" spans="1:3" x14ac:dyDescent="0.25">
      <c r="A59" s="3"/>
      <c r="B59" s="3"/>
      <c r="C59" s="95"/>
    </row>
    <row r="60" spans="1:3" x14ac:dyDescent="0.25">
      <c r="A60" s="3"/>
      <c r="B60" s="3"/>
      <c r="C60" s="95"/>
    </row>
    <row r="61" spans="1:3" x14ac:dyDescent="0.25">
      <c r="A61" s="3"/>
      <c r="B61" s="3"/>
      <c r="C61" s="95"/>
    </row>
    <row r="62" spans="1:3" x14ac:dyDescent="0.25">
      <c r="A62" s="3"/>
      <c r="B62" s="3"/>
      <c r="C62" s="95"/>
    </row>
    <row r="63" spans="1:3" x14ac:dyDescent="0.25">
      <c r="A63" s="3"/>
      <c r="B63" s="3"/>
      <c r="C63" s="95"/>
    </row>
    <row r="64" spans="1:3" x14ac:dyDescent="0.25">
      <c r="A64" s="3"/>
      <c r="B64" s="3"/>
      <c r="C64" s="95"/>
    </row>
    <row r="65" spans="1:3" x14ac:dyDescent="0.25">
      <c r="A65" s="3"/>
      <c r="B65" s="3"/>
      <c r="C65" s="95"/>
    </row>
    <row r="66" spans="1:3" x14ac:dyDescent="0.25">
      <c r="A66" s="3"/>
      <c r="B66" s="96"/>
      <c r="C66" s="97"/>
    </row>
    <row r="67" spans="1:3" x14ac:dyDescent="0.25">
      <c r="A67" s="3"/>
      <c r="B67" s="3"/>
      <c r="C67" s="3"/>
    </row>
    <row r="68" spans="1:3" x14ac:dyDescent="0.25">
      <c r="A68" s="3"/>
      <c r="B68" s="3"/>
      <c r="C68" s="3"/>
    </row>
  </sheetData>
  <sheetProtection selectLockedCells="1"/>
  <mergeCells count="2">
    <mergeCell ref="L1:M1"/>
    <mergeCell ref="N1:O1"/>
  </mergeCells>
  <pageMargins left="0.7" right="0.7" top="0.78740157499999996" bottom="0.78740157499999996" header="0.3" footer="0.3"/>
  <pageSetup paperSize="9" scale="4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showGridLines="0" showRowColHeaders="0" workbookViewId="0">
      <selection activeCell="C43" sqref="C43"/>
    </sheetView>
  </sheetViews>
  <sheetFormatPr baseColWidth="10" defaultRowHeight="15" x14ac:dyDescent="0.25"/>
  <sheetData>
    <row r="1" spans="1:2" ht="20.25" x14ac:dyDescent="0.3">
      <c r="A1" s="65" t="s">
        <v>74</v>
      </c>
      <c r="B1" s="64"/>
    </row>
    <row r="2" spans="1:2" ht="21" x14ac:dyDescent="0.35">
      <c r="A2" s="63" t="s">
        <v>75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Anfrage</vt:lpstr>
      <vt:lpstr>Tabelle2</vt:lpstr>
      <vt:lpstr>Bild</vt:lpstr>
      <vt:lpstr>Tabelle1</vt:lpstr>
      <vt:lpstr>Anfrage!Druckbereich</vt:lpstr>
      <vt:lpstr>Tabelle2!Druckbereich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Melik Özbek</cp:lastModifiedBy>
  <cp:lastPrinted>2024-11-01T16:17:52Z</cp:lastPrinted>
  <dcterms:created xsi:type="dcterms:W3CDTF">2014-05-22T07:55:13Z</dcterms:created>
  <dcterms:modified xsi:type="dcterms:W3CDTF">2024-11-01T16:18:05Z</dcterms:modified>
</cp:coreProperties>
</file>